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Research\RMob_Multicountry\"/>
    </mc:Choice>
  </mc:AlternateContent>
  <bookViews>
    <workbookView xWindow="0" yWindow="0" windowWidth="14496" windowHeight="4704"/>
  </bookViews>
  <sheets>
    <sheet name="Facebook ad perform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4" i="1"/>
  <c r="O16" i="1"/>
  <c r="O17" i="1"/>
  <c r="O18" i="1"/>
  <c r="O22" i="1"/>
  <c r="O26" i="1"/>
  <c r="O29" i="1"/>
  <c r="O30" i="1"/>
  <c r="O35" i="1"/>
  <c r="O36" i="1"/>
  <c r="O37" i="1"/>
  <c r="O41" i="1"/>
  <c r="F14" i="1" l="1"/>
  <c r="F13" i="1"/>
  <c r="F6" i="1" l="1"/>
  <c r="F7" i="1"/>
  <c r="F8" i="1"/>
  <c r="F9" i="1"/>
  <c r="F10" i="1"/>
  <c r="F11" i="1"/>
  <c r="F1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R12" i="1" l="1"/>
  <c r="R14" i="1"/>
  <c r="R16" i="1"/>
  <c r="R17" i="1"/>
  <c r="R18" i="1"/>
  <c r="R22" i="1"/>
  <c r="R26" i="1"/>
  <c r="R29" i="1"/>
  <c r="R30" i="1"/>
  <c r="R35" i="1"/>
  <c r="R36" i="1"/>
  <c r="R37" i="1"/>
  <c r="R41" i="1"/>
  <c r="Q12" i="1"/>
  <c r="Q14" i="1"/>
  <c r="Q16" i="1"/>
  <c r="Q17" i="1"/>
  <c r="Q18" i="1"/>
  <c r="Q22" i="1"/>
  <c r="S22" i="1" s="1"/>
  <c r="Q26" i="1"/>
  <c r="Q29" i="1"/>
  <c r="Q30" i="1"/>
  <c r="Q35" i="1"/>
  <c r="S35" i="1" s="1"/>
  <c r="Q36" i="1"/>
  <c r="Q37" i="1"/>
  <c r="Q41" i="1"/>
  <c r="AS36" i="1"/>
  <c r="AR36" i="1"/>
  <c r="AS29" i="1"/>
  <c r="AR29" i="1"/>
  <c r="AS26" i="1"/>
  <c r="AR26" i="1"/>
  <c r="AS18" i="1"/>
  <c r="AR18" i="1"/>
  <c r="AS14" i="1"/>
  <c r="AR14" i="1"/>
  <c r="AS12" i="1"/>
  <c r="AR12" i="1"/>
  <c r="AN42" i="1"/>
  <c r="AM42" i="1"/>
  <c r="AN41" i="1"/>
  <c r="AM41" i="1"/>
  <c r="AN40" i="1"/>
  <c r="AM40" i="1"/>
  <c r="AN37" i="1"/>
  <c r="AM37" i="1"/>
  <c r="AN36" i="1"/>
  <c r="AM36" i="1"/>
  <c r="AN35" i="1"/>
  <c r="AM35" i="1"/>
  <c r="AN33" i="1"/>
  <c r="AM33" i="1"/>
  <c r="AN32" i="1"/>
  <c r="AM32" i="1"/>
  <c r="AN30" i="1"/>
  <c r="AM30" i="1"/>
  <c r="AN29" i="1"/>
  <c r="AM29" i="1"/>
  <c r="AN26" i="1"/>
  <c r="AM26" i="1"/>
  <c r="AN25" i="1"/>
  <c r="AM25" i="1"/>
  <c r="AN24" i="1"/>
  <c r="AM24" i="1"/>
  <c r="AN23" i="1"/>
  <c r="AM23" i="1"/>
  <c r="AN22" i="1"/>
  <c r="AM22" i="1"/>
  <c r="AN19" i="1"/>
  <c r="AM19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7" i="1"/>
  <c r="AM7" i="1"/>
  <c r="AD39" i="1"/>
  <c r="AC39" i="1"/>
  <c r="Y39" i="1"/>
  <c r="Y18" i="1"/>
  <c r="X39" i="1"/>
  <c r="X18" i="1"/>
  <c r="AQ7" i="1"/>
  <c r="O7" i="1" s="1"/>
  <c r="AP7" i="1"/>
  <c r="R7" i="1" s="1"/>
  <c r="AO7" i="1"/>
  <c r="Q7" i="1" s="1"/>
  <c r="AQ33" i="1"/>
  <c r="O33" i="1" s="1"/>
  <c r="AP33" i="1"/>
  <c r="R33" i="1" s="1"/>
  <c r="AO33" i="1"/>
  <c r="Q33" i="1" s="1"/>
  <c r="AQ15" i="1"/>
  <c r="O15" i="1" s="1"/>
  <c r="AP15" i="1"/>
  <c r="R15" i="1" s="1"/>
  <c r="AO15" i="1"/>
  <c r="Q15" i="1" s="1"/>
  <c r="AV42" i="1"/>
  <c r="O42" i="1" s="1"/>
  <c r="AU42" i="1"/>
  <c r="R42" i="1" s="1"/>
  <c r="AT42" i="1"/>
  <c r="AV40" i="1"/>
  <c r="O40" i="1" s="1"/>
  <c r="AU40" i="1"/>
  <c r="R40" i="1" s="1"/>
  <c r="AT40" i="1"/>
  <c r="Q40" i="1" s="1"/>
  <c r="AV24" i="1"/>
  <c r="O24" i="1" s="1"/>
  <c r="AU24" i="1"/>
  <c r="R24" i="1" s="1"/>
  <c r="AT24" i="1"/>
  <c r="Q24" i="1" s="1"/>
  <c r="AV10" i="1"/>
  <c r="O10" i="1" s="1"/>
  <c r="AU10" i="1"/>
  <c r="R10" i="1" s="1"/>
  <c r="AT10" i="1"/>
  <c r="Q10" i="1" s="1"/>
  <c r="AV9" i="1"/>
  <c r="O9" i="1" s="1"/>
  <c r="AU9" i="1"/>
  <c r="R9" i="1" s="1"/>
  <c r="AT9" i="1"/>
  <c r="AV32" i="1"/>
  <c r="O32" i="1" s="1"/>
  <c r="AU32" i="1"/>
  <c r="R32" i="1" s="1"/>
  <c r="AT32" i="1"/>
  <c r="Q32" i="1" s="1"/>
  <c r="AV43" i="1"/>
  <c r="O43" i="1" s="1"/>
  <c r="AU43" i="1"/>
  <c r="R43" i="1" s="1"/>
  <c r="AT43" i="1"/>
  <c r="AV21" i="1"/>
  <c r="O21" i="1" s="1"/>
  <c r="AU21" i="1"/>
  <c r="R21" i="1" s="1"/>
  <c r="AT21" i="1"/>
  <c r="Q21" i="1" s="1"/>
  <c r="AV20" i="1"/>
  <c r="O20" i="1" s="1"/>
  <c r="AU20" i="1"/>
  <c r="R20" i="1" s="1"/>
  <c r="AT20" i="1"/>
  <c r="AQ23" i="1"/>
  <c r="O23" i="1" s="1"/>
  <c r="AP23" i="1"/>
  <c r="R23" i="1" s="1"/>
  <c r="AO23" i="1"/>
  <c r="Q23" i="1" s="1"/>
  <c r="AQ13" i="1"/>
  <c r="O13" i="1" s="1"/>
  <c r="AP13" i="1"/>
  <c r="R13" i="1" s="1"/>
  <c r="AO13" i="1"/>
  <c r="AQ25" i="1"/>
  <c r="O25" i="1" s="1"/>
  <c r="AP25" i="1"/>
  <c r="R25" i="1" s="1"/>
  <c r="AO25" i="1"/>
  <c r="Q25" i="1" s="1"/>
  <c r="AQ19" i="1"/>
  <c r="O19" i="1" s="1"/>
  <c r="AP19" i="1"/>
  <c r="R19" i="1" s="1"/>
  <c r="AO19" i="1"/>
  <c r="Q19" i="1" s="1"/>
  <c r="AQ11" i="1"/>
  <c r="O11" i="1" s="1"/>
  <c r="AP11" i="1"/>
  <c r="R11" i="1" s="1"/>
  <c r="AO11" i="1"/>
  <c r="Q11" i="1" s="1"/>
  <c r="AQ39" i="1"/>
  <c r="O39" i="1" s="1"/>
  <c r="AP39" i="1"/>
  <c r="R39" i="1" s="1"/>
  <c r="AO39" i="1"/>
  <c r="Q39" i="1" s="1"/>
  <c r="AQ38" i="1"/>
  <c r="AP38" i="1"/>
  <c r="AO38" i="1"/>
  <c r="AQ31" i="1"/>
  <c r="AP31" i="1"/>
  <c r="AO31" i="1"/>
  <c r="AQ8" i="1"/>
  <c r="AP8" i="1"/>
  <c r="AO8" i="1"/>
  <c r="AG38" i="1"/>
  <c r="O38" i="1" s="1"/>
  <c r="AF38" i="1"/>
  <c r="AE38" i="1"/>
  <c r="AG34" i="1"/>
  <c r="O34" i="1" s="1"/>
  <c r="AF34" i="1"/>
  <c r="R34" i="1" s="1"/>
  <c r="AE34" i="1"/>
  <c r="Q34" i="1" s="1"/>
  <c r="AG31" i="1"/>
  <c r="O31" i="1" s="1"/>
  <c r="AF31" i="1"/>
  <c r="R31" i="1" s="1"/>
  <c r="AE31" i="1"/>
  <c r="AG28" i="1"/>
  <c r="O28" i="1" s="1"/>
  <c r="AF28" i="1"/>
  <c r="R28" i="1" s="1"/>
  <c r="AE28" i="1"/>
  <c r="Q28" i="1" s="1"/>
  <c r="AG27" i="1"/>
  <c r="O27" i="1" s="1"/>
  <c r="AF27" i="1"/>
  <c r="R27" i="1" s="1"/>
  <c r="AE27" i="1"/>
  <c r="AG8" i="1"/>
  <c r="O8" i="1" s="1"/>
  <c r="AF8" i="1"/>
  <c r="AE8" i="1"/>
  <c r="AG6" i="1"/>
  <c r="O6" i="1" s="1"/>
  <c r="AF6" i="1"/>
  <c r="R6" i="1" s="1"/>
  <c r="AE6" i="1"/>
  <c r="S41" i="1" l="1"/>
  <c r="S30" i="1"/>
  <c r="S18" i="1"/>
  <c r="S12" i="1"/>
  <c r="S14" i="1"/>
  <c r="S34" i="1"/>
  <c r="S25" i="1"/>
  <c r="S21" i="1"/>
  <c r="S10" i="1"/>
  <c r="S37" i="1"/>
  <c r="S29" i="1"/>
  <c r="S17" i="1"/>
  <c r="Q38" i="1"/>
  <c r="S39" i="1"/>
  <c r="S24" i="1"/>
  <c r="S33" i="1"/>
  <c r="Q8" i="1"/>
  <c r="AW9" i="1"/>
  <c r="AW42" i="1"/>
  <c r="S15" i="1"/>
  <c r="AH6" i="1"/>
  <c r="AH31" i="1"/>
  <c r="AR31" i="1"/>
  <c r="S19" i="1"/>
  <c r="AW20" i="1"/>
  <c r="S28" i="1"/>
  <c r="S11" i="1"/>
  <c r="S23" i="1"/>
  <c r="S32" i="1"/>
  <c r="S40" i="1"/>
  <c r="S7" i="1"/>
  <c r="S36" i="1"/>
  <c r="S26" i="1"/>
  <c r="S16" i="1"/>
  <c r="R8" i="1"/>
  <c r="R38" i="1"/>
  <c r="S38" i="1" s="1"/>
  <c r="AH27" i="1"/>
  <c r="AR13" i="1"/>
  <c r="AW43" i="1"/>
  <c r="Q6" i="1"/>
  <c r="Q20" i="1"/>
  <c r="S20" i="1" s="1"/>
  <c r="Q43" i="1"/>
  <c r="S43" i="1" s="1"/>
  <c r="Q31" i="1"/>
  <c r="S31" i="1" s="1"/>
  <c r="Q27" i="1"/>
  <c r="S27" i="1" s="1"/>
  <c r="Q42" i="1"/>
  <c r="S42" i="1" s="1"/>
  <c r="Q13" i="1"/>
  <c r="S13" i="1" s="1"/>
  <c r="Q9" i="1"/>
  <c r="S9" i="1" s="1"/>
  <c r="AH34" i="1"/>
  <c r="AW21" i="1"/>
  <c r="AW10" i="1"/>
  <c r="AI8" i="1"/>
  <c r="AH28" i="1"/>
  <c r="AR8" i="1"/>
  <c r="AS38" i="1"/>
  <c r="AR11" i="1"/>
  <c r="AR23" i="1"/>
  <c r="AW32" i="1"/>
  <c r="AW40" i="1"/>
  <c r="AR7" i="1"/>
  <c r="AW24" i="1"/>
  <c r="AR33" i="1"/>
  <c r="AH8" i="1"/>
  <c r="AR38" i="1"/>
  <c r="AR25" i="1"/>
  <c r="AR15" i="1"/>
  <c r="AR19" i="1"/>
  <c r="AX10" i="1"/>
  <c r="AX21" i="1"/>
  <c r="AX32" i="1"/>
  <c r="AX42" i="1"/>
  <c r="AH38" i="1"/>
  <c r="AS31" i="1"/>
  <c r="AR39" i="1"/>
  <c r="AS8" i="1"/>
  <c r="AX9" i="1"/>
  <c r="AX20" i="1"/>
  <c r="AX24" i="1"/>
  <c r="AX40" i="1"/>
  <c r="AX43" i="1"/>
  <c r="AI28" i="1"/>
  <c r="AI34" i="1"/>
  <c r="AS7" i="1"/>
  <c r="AS11" i="1"/>
  <c r="AS13" i="1"/>
  <c r="AS15" i="1"/>
  <c r="AS19" i="1"/>
  <c r="AS25" i="1"/>
  <c r="AS33" i="1"/>
  <c r="AI6" i="1"/>
  <c r="AI27" i="1"/>
  <c r="AI31" i="1"/>
  <c r="AI38" i="1"/>
  <c r="AS23" i="1"/>
  <c r="AS3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6" i="1"/>
  <c r="J27" i="1" l="1"/>
  <c r="J15" i="1"/>
  <c r="J38" i="1"/>
  <c r="J26" i="1"/>
  <c r="J18" i="1"/>
  <c r="J14" i="1"/>
  <c r="J10" i="1"/>
  <c r="J39" i="1"/>
  <c r="J31" i="1"/>
  <c r="J23" i="1"/>
  <c r="J11" i="1"/>
  <c r="J34" i="1"/>
  <c r="J22" i="1"/>
  <c r="J41" i="1"/>
  <c r="J37" i="1"/>
  <c r="J33" i="1"/>
  <c r="J29" i="1"/>
  <c r="J25" i="1"/>
  <c r="J21" i="1"/>
  <c r="J17" i="1"/>
  <c r="J13" i="1"/>
  <c r="J9" i="1"/>
  <c r="J43" i="1"/>
  <c r="J35" i="1"/>
  <c r="J19" i="1"/>
  <c r="J7" i="1"/>
  <c r="J42" i="1"/>
  <c r="J30" i="1"/>
  <c r="J6" i="1"/>
  <c r="J40" i="1"/>
  <c r="J36" i="1"/>
  <c r="J32" i="1"/>
  <c r="J28" i="1"/>
  <c r="J24" i="1"/>
  <c r="J20" i="1"/>
  <c r="J16" i="1"/>
  <c r="J12" i="1"/>
  <c r="J8" i="1"/>
  <c r="T8" i="1"/>
  <c r="T18" i="1"/>
  <c r="S8" i="1"/>
  <c r="T38" i="1"/>
  <c r="S6" i="1"/>
  <c r="P36" i="1"/>
  <c r="T36" i="1"/>
  <c r="P24" i="1"/>
  <c r="T24" i="1"/>
  <c r="P12" i="1"/>
  <c r="T12" i="1"/>
  <c r="P43" i="1"/>
  <c r="T43" i="1"/>
  <c r="P39" i="1"/>
  <c r="T39" i="1"/>
  <c r="P35" i="1"/>
  <c r="T35" i="1"/>
  <c r="P31" i="1"/>
  <c r="T31" i="1"/>
  <c r="P27" i="1"/>
  <c r="T27" i="1"/>
  <c r="P23" i="1"/>
  <c r="T23" i="1"/>
  <c r="P19" i="1"/>
  <c r="T19" i="1"/>
  <c r="P15" i="1"/>
  <c r="T15" i="1"/>
  <c r="P11" i="1"/>
  <c r="T11" i="1"/>
  <c r="P7" i="1"/>
  <c r="T7" i="1"/>
  <c r="P6" i="1"/>
  <c r="T6" i="1"/>
  <c r="P32" i="1"/>
  <c r="T32" i="1"/>
  <c r="P20" i="1"/>
  <c r="T20" i="1"/>
  <c r="P34" i="1"/>
  <c r="T34" i="1"/>
  <c r="P30" i="1"/>
  <c r="T30" i="1"/>
  <c r="P26" i="1"/>
  <c r="T26" i="1"/>
  <c r="P22" i="1"/>
  <c r="T22" i="1"/>
  <c r="P14" i="1"/>
  <c r="T14" i="1"/>
  <c r="P10" i="1"/>
  <c r="T10" i="1"/>
  <c r="P40" i="1"/>
  <c r="T40" i="1"/>
  <c r="P28" i="1"/>
  <c r="T28" i="1"/>
  <c r="P16" i="1"/>
  <c r="T16" i="1"/>
  <c r="P42" i="1"/>
  <c r="T42" i="1"/>
  <c r="P41" i="1"/>
  <c r="T41" i="1"/>
  <c r="P37" i="1"/>
  <c r="T37" i="1"/>
  <c r="P33" i="1"/>
  <c r="T33" i="1"/>
  <c r="P29" i="1"/>
  <c r="T29" i="1"/>
  <c r="P25" i="1"/>
  <c r="T25" i="1"/>
  <c r="P21" i="1"/>
  <c r="T21" i="1"/>
  <c r="P17" i="1"/>
  <c r="T17" i="1"/>
  <c r="P13" i="1"/>
  <c r="T13" i="1"/>
  <c r="P9" i="1"/>
  <c r="T9" i="1"/>
  <c r="P38" i="1"/>
  <c r="P8" i="1"/>
  <c r="P18" i="1"/>
</calcChain>
</file>

<file path=xl/sharedStrings.xml><?xml version="1.0" encoding="utf-8"?>
<sst xmlns="http://schemas.openxmlformats.org/spreadsheetml/2006/main" count="174" uniqueCount="133">
  <si>
    <t>Australia</t>
    <phoneticPr fontId="1"/>
  </si>
  <si>
    <t>Canada</t>
    <phoneticPr fontId="1"/>
  </si>
  <si>
    <t>Japan</t>
    <phoneticPr fontId="1"/>
  </si>
  <si>
    <t>New Zealand</t>
    <phoneticPr fontId="1"/>
  </si>
  <si>
    <t>Philippines</t>
    <phoneticPr fontId="1"/>
  </si>
  <si>
    <t>Singapore</t>
    <phoneticPr fontId="1"/>
  </si>
  <si>
    <t>Trinidad Tobago</t>
    <phoneticPr fontId="1"/>
  </si>
  <si>
    <t>USA</t>
    <phoneticPr fontId="1"/>
  </si>
  <si>
    <t>Brazil</t>
    <phoneticPr fontId="1"/>
  </si>
  <si>
    <t>Feb 10 - 18</t>
    <phoneticPr fontId="1"/>
  </si>
  <si>
    <t>Chile</t>
    <phoneticPr fontId="1"/>
  </si>
  <si>
    <t>Colombia</t>
    <phoneticPr fontId="1"/>
  </si>
  <si>
    <t>Egypt</t>
    <phoneticPr fontId="1"/>
  </si>
  <si>
    <t>Estonia</t>
    <phoneticPr fontId="1"/>
  </si>
  <si>
    <t>France</t>
    <phoneticPr fontId="1"/>
  </si>
  <si>
    <t>Germany</t>
    <phoneticPr fontId="1"/>
  </si>
  <si>
    <t>Hong Kong</t>
    <phoneticPr fontId="1"/>
  </si>
  <si>
    <t>United Kingdom</t>
    <phoneticPr fontId="1"/>
  </si>
  <si>
    <t>Hungary</t>
    <phoneticPr fontId="1"/>
  </si>
  <si>
    <t>Israel</t>
    <phoneticPr fontId="1"/>
  </si>
  <si>
    <t>Jordan</t>
    <phoneticPr fontId="1"/>
  </si>
  <si>
    <t>Malaysia</t>
    <phoneticPr fontId="1"/>
  </si>
  <si>
    <t>Mauritius</t>
    <phoneticPr fontId="1"/>
  </si>
  <si>
    <t>Mexico</t>
    <phoneticPr fontId="1"/>
  </si>
  <si>
    <t>Netherlands</t>
    <phoneticPr fontId="1"/>
  </si>
  <si>
    <t>Poland</t>
    <phoneticPr fontId="1"/>
  </si>
  <si>
    <t>Portugal</t>
    <phoneticPr fontId="1"/>
  </si>
  <si>
    <t>Spain</t>
    <phoneticPr fontId="1"/>
  </si>
  <si>
    <t>Sweden</t>
    <phoneticPr fontId="1"/>
  </si>
  <si>
    <t>Tunisia</t>
    <phoneticPr fontId="1"/>
  </si>
  <si>
    <t>Turkey</t>
    <phoneticPr fontId="1"/>
  </si>
  <si>
    <t>Ukraine</t>
    <phoneticPr fontId="1"/>
  </si>
  <si>
    <t>Venezuela</t>
    <phoneticPr fontId="1"/>
  </si>
  <si>
    <t>Taiwan</t>
    <phoneticPr fontId="1"/>
  </si>
  <si>
    <t>Puerto Rico</t>
    <phoneticPr fontId="1"/>
  </si>
  <si>
    <t>Morocco</t>
    <phoneticPr fontId="1"/>
  </si>
  <si>
    <t>Clicks</t>
    <phoneticPr fontId="1"/>
  </si>
  <si>
    <t>FB Pentration</t>
    <phoneticPr fontId="1"/>
  </si>
  <si>
    <t>2015 Feb 10 - 18, 2015 May 20 - 23</t>
    <phoneticPr fontId="1"/>
  </si>
  <si>
    <t>2014 Nov 10 -17</t>
    <phoneticPr fontId="1"/>
  </si>
  <si>
    <t>2014 Nov 10 -17, 2015 May 19 - 26</t>
    <phoneticPr fontId="1"/>
  </si>
  <si>
    <t>2015 Jul 24 - 30</t>
    <phoneticPr fontId="1"/>
  </si>
  <si>
    <t>2015 Jul 24 - Aug 1</t>
    <phoneticPr fontId="1"/>
  </si>
  <si>
    <t>2015 Feb 10 - 18</t>
    <phoneticPr fontId="1"/>
  </si>
  <si>
    <t>2015 Feb 10 - 18, 2015 May 19 - 30 Jul</t>
    <phoneticPr fontId="1"/>
  </si>
  <si>
    <t>2015 Feb 10 - 18, 2015 May 19 - 27</t>
    <phoneticPr fontId="1"/>
  </si>
  <si>
    <t>2015 Feb 10 - 18, 2015 May 19 - 27</t>
    <phoneticPr fontId="1"/>
  </si>
  <si>
    <t>2015 Feb 10 - 18</t>
    <phoneticPr fontId="1"/>
  </si>
  <si>
    <t>Lebanon</t>
    <phoneticPr fontId="1"/>
  </si>
  <si>
    <t>2015 Jul 26 - Aug 2</t>
    <phoneticPr fontId="1"/>
  </si>
  <si>
    <t>Lybia</t>
    <phoneticPr fontId="1"/>
  </si>
  <si>
    <t>2015 Feb 10 - 18, 2015 May 19 - 27</t>
    <phoneticPr fontId="1"/>
  </si>
  <si>
    <t>2015 Feb 10 - 18, 2015 May 19 - 27</t>
    <phoneticPr fontId="1"/>
  </si>
  <si>
    <t>2015 Feb 10 - 18</t>
    <phoneticPr fontId="1"/>
  </si>
  <si>
    <t>2015 Feb 10 - 18, 2015 May 19 - 27</t>
    <phoneticPr fontId="1"/>
  </si>
  <si>
    <t>2014 Oct 3 - 10, Oct 24 - Nov 19, 2015 May 19 - 27</t>
    <phoneticPr fontId="1"/>
  </si>
  <si>
    <t>2015 Jul 24 - Aug 2</t>
    <phoneticPr fontId="1"/>
  </si>
  <si>
    <t>Palestinian Terretories</t>
    <phoneticPr fontId="1"/>
  </si>
  <si>
    <t>2015 Jul 26 - Aug 3</t>
    <phoneticPr fontId="1"/>
  </si>
  <si>
    <t>CTR</t>
    <phoneticPr fontId="1"/>
  </si>
  <si>
    <t>Cost per click</t>
    <phoneticPr fontId="1"/>
  </si>
  <si>
    <t>Facebook Ad Stats - Wave 1 (2014/11)</t>
    <phoneticPr fontId="1"/>
  </si>
  <si>
    <t>Facebook Ad Stats - Wave 2 (2015/02)</t>
    <phoneticPr fontId="1"/>
  </si>
  <si>
    <t>Facebook Ad Stats - Wave 3 (2015/05)</t>
    <phoneticPr fontId="1"/>
  </si>
  <si>
    <t>Facebook Ad Stats - Wave 4 (2015/07)</t>
    <phoneticPr fontId="1"/>
  </si>
  <si>
    <t>Cost per click</t>
    <phoneticPr fontId="1"/>
  </si>
  <si>
    <t>Reach</t>
    <phoneticPr fontId="1"/>
  </si>
  <si>
    <t>Amount Spent</t>
    <phoneticPr fontId="1"/>
  </si>
  <si>
    <t>Clicks</t>
    <phoneticPr fontId="1"/>
  </si>
  <si>
    <t>Reach</t>
    <phoneticPr fontId="1"/>
  </si>
  <si>
    <t>Amount Spent</t>
    <phoneticPr fontId="1"/>
  </si>
  <si>
    <t>Facebook Ad Stats - Pilot (2014/10)</t>
    <phoneticPr fontId="1"/>
  </si>
  <si>
    <t>Clicks</t>
    <phoneticPr fontId="1"/>
  </si>
  <si>
    <t>Reach</t>
    <phoneticPr fontId="1"/>
  </si>
  <si>
    <t>Amount Spent</t>
    <phoneticPr fontId="1"/>
  </si>
  <si>
    <t>Facebook Ad Stats - Pilot US Extra (2014/11)</t>
    <phoneticPr fontId="1"/>
  </si>
  <si>
    <t>Reach</t>
    <phoneticPr fontId="1"/>
  </si>
  <si>
    <t>Reach</t>
    <phoneticPr fontId="1"/>
  </si>
  <si>
    <t>Average CTR</t>
    <phoneticPr fontId="1"/>
  </si>
  <si>
    <t>Total Clicks</t>
    <phoneticPr fontId="1"/>
  </si>
  <si>
    <t>Total Reach</t>
    <phoneticPr fontId="1"/>
  </si>
  <si>
    <t>English</t>
    <phoneticPr fontId="1"/>
  </si>
  <si>
    <t>Brazillian Portuguese</t>
    <phoneticPr fontId="1"/>
  </si>
  <si>
    <t>English</t>
    <phoneticPr fontId="1"/>
  </si>
  <si>
    <t>Spanish</t>
    <phoneticPr fontId="1"/>
  </si>
  <si>
    <t>Arabic</t>
    <phoneticPr fontId="1"/>
  </si>
  <si>
    <t>Estonian</t>
    <phoneticPr fontId="1"/>
  </si>
  <si>
    <t>French</t>
    <phoneticPr fontId="1"/>
  </si>
  <si>
    <t>German</t>
    <phoneticPr fontId="1"/>
  </si>
  <si>
    <t>Chinese</t>
    <phoneticPr fontId="1"/>
  </si>
  <si>
    <t>Hungarian</t>
    <phoneticPr fontId="1"/>
  </si>
  <si>
    <t>Hebrew</t>
    <phoneticPr fontId="1"/>
  </si>
  <si>
    <t>Japanese</t>
    <phoneticPr fontId="1"/>
  </si>
  <si>
    <t>Arabic</t>
    <phoneticPr fontId="1"/>
  </si>
  <si>
    <t>Malaysian, English, Chinese</t>
    <phoneticPr fontId="1"/>
  </si>
  <si>
    <t>French</t>
    <phoneticPr fontId="1"/>
  </si>
  <si>
    <t>Spanish</t>
    <phoneticPr fontId="1"/>
  </si>
  <si>
    <t>Dutch</t>
    <phoneticPr fontId="1"/>
  </si>
  <si>
    <t>English</t>
    <phoneticPr fontId="1"/>
  </si>
  <si>
    <t>Polish</t>
    <phoneticPr fontId="1"/>
  </si>
  <si>
    <t>Portuguese</t>
    <phoneticPr fontId="1"/>
  </si>
  <si>
    <t>Spanish</t>
    <phoneticPr fontId="1"/>
  </si>
  <si>
    <t>Swedish</t>
    <phoneticPr fontId="1"/>
  </si>
  <si>
    <t>Arabic</t>
    <phoneticPr fontId="1"/>
  </si>
  <si>
    <t>Turkish</t>
    <phoneticPr fontId="1"/>
  </si>
  <si>
    <t>Ukranian</t>
    <phoneticPr fontId="1"/>
  </si>
  <si>
    <t>Spanish</t>
    <phoneticPr fontId="1"/>
  </si>
  <si>
    <t>Chinese</t>
    <phoneticPr fontId="1"/>
  </si>
  <si>
    <t>Spanish</t>
    <phoneticPr fontId="1"/>
  </si>
  <si>
    <t>2014 Oct 3 - 10, 2015 May 19 - 28</t>
    <phoneticPr fontId="1"/>
  </si>
  <si>
    <t>2014 Nov 10 -17</t>
    <phoneticPr fontId="1"/>
  </si>
  <si>
    <t>2014 Nov 10 -17</t>
    <phoneticPr fontId="1"/>
  </si>
  <si>
    <t>2015 Feb 10 - 18</t>
    <phoneticPr fontId="1"/>
  </si>
  <si>
    <t>Language</t>
    <phoneticPr fontId="1"/>
  </si>
  <si>
    <t>Completed N</t>
    <phoneticPr fontId="1"/>
  </si>
  <si>
    <t>Friend</t>
    <phoneticPr fontId="1"/>
  </si>
  <si>
    <t>Romance</t>
    <phoneticPr fontId="1"/>
  </si>
  <si>
    <t>Total</t>
    <phoneticPr fontId="1"/>
  </si>
  <si>
    <t>Valid N</t>
    <phoneticPr fontId="1"/>
  </si>
  <si>
    <t>Friend</t>
    <phoneticPr fontId="1"/>
  </si>
  <si>
    <t>Roance</t>
    <phoneticPr fontId="1"/>
  </si>
  <si>
    <t>Total</t>
    <phoneticPr fontId="1"/>
  </si>
  <si>
    <t>% deletion</t>
    <phoneticPr fontId="1"/>
  </si>
  <si>
    <t>Female</t>
    <phoneticPr fontId="1"/>
  </si>
  <si>
    <t>Age (M)</t>
    <phoneticPr fontId="1"/>
  </si>
  <si>
    <t>Age (SD)</t>
    <phoneticPr fontId="1"/>
  </si>
  <si>
    <t>Data collection</t>
    <phoneticPr fontId="1"/>
  </si>
  <si>
    <t>Country</t>
    <phoneticPr fontId="1"/>
  </si>
  <si>
    <t>Basic stats</t>
    <phoneticPr fontId="1"/>
  </si>
  <si>
    <t>Facebook Ads Overall Performance</t>
    <phoneticPr fontId="1"/>
  </si>
  <si>
    <t>Country Total Spent (yen)</t>
    <phoneticPr fontId="1"/>
  </si>
  <si>
    <t>Cost per Valid Response (yen)</t>
    <phoneticPr fontId="1"/>
  </si>
  <si>
    <t>Response Rate (percent who clicked who validly completed)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</si>
</sst>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8" formatCode="0_ "/>
    <numFmt numFmtId="180" formatCode="#,##0_ "/>
    <numFmt numFmtId="181" formatCode="0_);[Red]\(0\)"/>
    <numFmt numFmtId="182" formatCode="&quot;¥&quot;#,##0_);[Red]\(&quot;¥&quot;#,##0\)"/>
    <numFmt numFmtId="183" formatCode="0.0%"/>
    <numFmt numFmtId="185" formatCode="#,##0.0000000000_ "/>
    <numFmt numFmtId="187" formatCode="0.000_ "/>
    <numFmt numFmtId="190" formatCode="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81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83" fontId="0" fillId="3" borderId="1" xfId="0" applyNumberFormat="1" applyFill="1" applyBorder="1" applyAlignment="1">
      <alignment horizontal="center" vertical="center"/>
    </xf>
    <xf numFmtId="182" fontId="0" fillId="3" borderId="1" xfId="0" applyNumberFormat="1" applyFill="1" applyBorder="1" applyAlignment="1">
      <alignment horizontal="center" vertical="center"/>
    </xf>
    <xf numFmtId="185" fontId="0" fillId="3" borderId="1" xfId="0" applyNumberFormat="1" applyFill="1" applyBorder="1" applyAlignment="1">
      <alignment horizontal="center" vertical="center"/>
    </xf>
    <xf numFmtId="180" fontId="0" fillId="3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183" fontId="0" fillId="0" borderId="3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49" fontId="2" fillId="2" borderId="1" xfId="0" applyNumberFormat="1" applyFont="1" applyFill="1" applyBorder="1">
      <alignment vertical="center"/>
    </xf>
    <xf numFmtId="49" fontId="2" fillId="2" borderId="3" xfId="0" applyNumberFormat="1" applyFont="1" applyFill="1" applyBorder="1">
      <alignment vertical="center"/>
    </xf>
    <xf numFmtId="190" fontId="0" fillId="0" borderId="1" xfId="0" applyNumberFormat="1" applyBorder="1" applyAlignment="1">
      <alignment horizontal="center" vertical="center"/>
    </xf>
    <xf numFmtId="190" fontId="0" fillId="0" borderId="2" xfId="0" applyNumberFormat="1" applyBorder="1" applyAlignment="1">
      <alignment horizontal="center" vertical="center"/>
    </xf>
    <xf numFmtId="190" fontId="0" fillId="0" borderId="3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43"/>
  <sheetViews>
    <sheetView tabSelected="1" zoomScale="85" zoomScaleNormal="85" workbookViewId="0">
      <pane xSplit="1" topLeftCell="H1" activePane="topRight" state="frozen"/>
      <selection pane="topRight" activeCell="P48" sqref="P48"/>
    </sheetView>
  </sheetViews>
  <sheetFormatPr defaultRowHeight="13.2" x14ac:dyDescent="0.2"/>
  <cols>
    <col min="1" max="1" width="18.5546875" customWidth="1"/>
    <col min="2" max="2" width="43" customWidth="1"/>
    <col min="3" max="3" width="19.88671875" customWidth="1"/>
    <col min="4" max="4" width="9.21875" customWidth="1"/>
    <col min="5" max="5" width="9.33203125" customWidth="1"/>
    <col min="6" max="6" width="9.44140625" customWidth="1"/>
    <col min="7" max="7" width="11.44140625" customWidth="1"/>
    <col min="8" max="8" width="12.21875" customWidth="1"/>
    <col min="10" max="10" width="12.6640625" customWidth="1"/>
    <col min="15" max="15" width="16.21875" customWidth="1"/>
    <col min="16" max="16" width="17.6640625" customWidth="1"/>
    <col min="17" max="18" width="12" customWidth="1"/>
    <col min="19" max="19" width="10.21875" customWidth="1"/>
    <col min="20" max="20" width="12" customWidth="1"/>
    <col min="21" max="21" width="11.21875" customWidth="1"/>
    <col min="22" max="22" width="13.44140625" customWidth="1"/>
    <col min="23" max="23" width="13" customWidth="1"/>
    <col min="24" max="24" width="11.109375" customWidth="1"/>
    <col min="25" max="25" width="11.33203125" customWidth="1"/>
    <col min="26" max="26" width="12.77734375" customWidth="1"/>
    <col min="27" max="27" width="13.33203125" customWidth="1"/>
    <col min="28" max="28" width="12.6640625" customWidth="1"/>
    <col min="29" max="29" width="11.33203125" customWidth="1"/>
    <col min="30" max="30" width="12.33203125" customWidth="1"/>
    <col min="31" max="31" width="12.77734375" customWidth="1"/>
    <col min="32" max="32" width="13.33203125" customWidth="1"/>
    <col min="33" max="33" width="12.6640625" customWidth="1"/>
    <col min="34" max="34" width="11.33203125" customWidth="1"/>
    <col min="35" max="35" width="12.33203125" customWidth="1"/>
    <col min="36" max="36" width="16.33203125" customWidth="1"/>
    <col min="37" max="37" width="10.44140625" customWidth="1"/>
    <col min="38" max="38" width="14.109375" customWidth="1"/>
    <col min="39" max="39" width="10.77734375" customWidth="1"/>
    <col min="40" max="40" width="12.6640625" customWidth="1"/>
    <col min="41" max="41" width="10.77734375" customWidth="1"/>
    <col min="42" max="42" width="11.33203125" customWidth="1"/>
    <col min="43" max="43" width="11.6640625" customWidth="1"/>
    <col min="44" max="44" width="11.109375" customWidth="1"/>
    <col min="45" max="45" width="11.33203125" customWidth="1"/>
    <col min="46" max="46" width="12" customWidth="1"/>
    <col min="47" max="47" width="10.44140625" customWidth="1"/>
    <col min="48" max="48" width="10.5546875" customWidth="1"/>
    <col min="49" max="49" width="9.77734375" customWidth="1"/>
    <col min="50" max="50" width="12.33203125" customWidth="1"/>
  </cols>
  <sheetData>
    <row r="2" spans="1:50" x14ac:dyDescent="0.2">
      <c r="O2" s="27" t="s">
        <v>129</v>
      </c>
      <c r="P2" s="28"/>
      <c r="Q2" s="28"/>
      <c r="R2" s="28"/>
      <c r="S2" s="28"/>
      <c r="T2" s="29"/>
      <c r="U2" s="33" t="s">
        <v>71</v>
      </c>
      <c r="V2" s="33"/>
      <c r="W2" s="33"/>
      <c r="X2" s="33"/>
      <c r="Y2" s="33"/>
      <c r="Z2" s="33" t="s">
        <v>75</v>
      </c>
      <c r="AA2" s="33"/>
      <c r="AB2" s="33"/>
      <c r="AC2" s="33"/>
      <c r="AD2" s="33"/>
      <c r="AE2" s="33" t="s">
        <v>61</v>
      </c>
      <c r="AF2" s="33"/>
      <c r="AG2" s="33"/>
      <c r="AH2" s="33"/>
      <c r="AI2" s="33"/>
      <c r="AJ2" s="33" t="s">
        <v>62</v>
      </c>
      <c r="AK2" s="33"/>
      <c r="AL2" s="33"/>
      <c r="AM2" s="33"/>
      <c r="AN2" s="33"/>
      <c r="AO2" s="33" t="s">
        <v>63</v>
      </c>
      <c r="AP2" s="33"/>
      <c r="AQ2" s="33"/>
      <c r="AR2" s="33"/>
      <c r="AS2" s="33"/>
      <c r="AT2" s="33" t="s">
        <v>64</v>
      </c>
      <c r="AU2" s="33"/>
      <c r="AV2" s="33"/>
      <c r="AW2" s="33"/>
      <c r="AX2" s="33"/>
    </row>
    <row r="3" spans="1:50" ht="13.2" customHeight="1" x14ac:dyDescent="0.2">
      <c r="A3" s="35"/>
      <c r="B3" s="35"/>
      <c r="C3" s="15"/>
      <c r="D3" s="15"/>
      <c r="E3" s="15"/>
      <c r="F3" s="15"/>
      <c r="G3" s="33" t="s">
        <v>128</v>
      </c>
      <c r="H3" s="33"/>
      <c r="I3" s="33"/>
      <c r="J3" s="33"/>
      <c r="K3" s="33"/>
      <c r="L3" s="33"/>
      <c r="M3" s="33"/>
      <c r="N3" s="33"/>
      <c r="O3" s="34" t="s">
        <v>130</v>
      </c>
      <c r="P3" s="30" t="s">
        <v>131</v>
      </c>
      <c r="Q3" s="30" t="s">
        <v>79</v>
      </c>
      <c r="R3" s="30" t="s">
        <v>80</v>
      </c>
      <c r="S3" s="30" t="s">
        <v>78</v>
      </c>
      <c r="T3" s="30" t="s">
        <v>132</v>
      </c>
      <c r="U3" s="34" t="s">
        <v>72</v>
      </c>
      <c r="V3" s="30" t="s">
        <v>73</v>
      </c>
      <c r="W3" s="30" t="s">
        <v>74</v>
      </c>
      <c r="X3" s="30" t="s">
        <v>59</v>
      </c>
      <c r="Y3" s="30" t="s">
        <v>60</v>
      </c>
      <c r="Z3" s="34" t="s">
        <v>68</v>
      </c>
      <c r="AA3" s="30" t="s">
        <v>69</v>
      </c>
      <c r="AB3" s="30" t="s">
        <v>70</v>
      </c>
      <c r="AC3" s="30" t="s">
        <v>59</v>
      </c>
      <c r="AD3" s="30" t="s">
        <v>60</v>
      </c>
      <c r="AE3" s="34" t="s">
        <v>68</v>
      </c>
      <c r="AF3" s="30" t="s">
        <v>69</v>
      </c>
      <c r="AG3" s="30" t="s">
        <v>70</v>
      </c>
      <c r="AH3" s="30" t="s">
        <v>59</v>
      </c>
      <c r="AI3" s="30" t="s">
        <v>60</v>
      </c>
      <c r="AJ3" s="34" t="s">
        <v>36</v>
      </c>
      <c r="AK3" s="30" t="s">
        <v>66</v>
      </c>
      <c r="AL3" s="30" t="s">
        <v>67</v>
      </c>
      <c r="AM3" s="30" t="s">
        <v>59</v>
      </c>
      <c r="AN3" s="30" t="s">
        <v>60</v>
      </c>
      <c r="AO3" s="34" t="s">
        <v>72</v>
      </c>
      <c r="AP3" s="30" t="s">
        <v>76</v>
      </c>
      <c r="AQ3" s="30" t="s">
        <v>67</v>
      </c>
      <c r="AR3" s="30" t="s">
        <v>59</v>
      </c>
      <c r="AS3" s="30" t="s">
        <v>60</v>
      </c>
      <c r="AT3" s="34" t="s">
        <v>36</v>
      </c>
      <c r="AU3" s="30" t="s">
        <v>77</v>
      </c>
      <c r="AV3" s="30" t="s">
        <v>70</v>
      </c>
      <c r="AW3" s="30" t="s">
        <v>59</v>
      </c>
      <c r="AX3" s="30" t="s">
        <v>65</v>
      </c>
    </row>
    <row r="4" spans="1:50" ht="13.2" customHeight="1" x14ac:dyDescent="0.2">
      <c r="A4" s="33" t="s">
        <v>127</v>
      </c>
      <c r="B4" s="33" t="s">
        <v>126</v>
      </c>
      <c r="C4" s="14"/>
      <c r="D4" s="27" t="s">
        <v>114</v>
      </c>
      <c r="E4" s="28"/>
      <c r="F4" s="29"/>
      <c r="G4" s="33" t="s">
        <v>118</v>
      </c>
      <c r="H4" s="33"/>
      <c r="I4" s="33"/>
      <c r="J4" s="33"/>
      <c r="K4" s="33"/>
      <c r="L4" s="16"/>
      <c r="M4" s="16"/>
      <c r="N4" s="30" t="s">
        <v>37</v>
      </c>
      <c r="O4" s="34"/>
      <c r="P4" s="31"/>
      <c r="Q4" s="31"/>
      <c r="R4" s="31"/>
      <c r="S4" s="31"/>
      <c r="T4" s="31"/>
      <c r="U4" s="34"/>
      <c r="V4" s="31"/>
      <c r="W4" s="31"/>
      <c r="X4" s="31"/>
      <c r="Y4" s="31"/>
      <c r="Z4" s="34"/>
      <c r="AA4" s="31"/>
      <c r="AB4" s="31"/>
      <c r="AC4" s="31"/>
      <c r="AD4" s="31"/>
      <c r="AE4" s="34"/>
      <c r="AF4" s="31"/>
      <c r="AG4" s="31"/>
      <c r="AH4" s="31"/>
      <c r="AI4" s="31"/>
      <c r="AJ4" s="34"/>
      <c r="AK4" s="31"/>
      <c r="AL4" s="31"/>
      <c r="AM4" s="31"/>
      <c r="AN4" s="31"/>
      <c r="AO4" s="34"/>
      <c r="AP4" s="31"/>
      <c r="AQ4" s="31"/>
      <c r="AR4" s="31"/>
      <c r="AS4" s="31"/>
      <c r="AT4" s="34"/>
      <c r="AU4" s="31"/>
      <c r="AV4" s="31"/>
      <c r="AW4" s="31"/>
      <c r="AX4" s="31"/>
    </row>
    <row r="5" spans="1:50" ht="70.2" customHeight="1" x14ac:dyDescent="0.2">
      <c r="A5" s="33"/>
      <c r="B5" s="33"/>
      <c r="C5" s="13" t="s">
        <v>113</v>
      </c>
      <c r="D5" s="13" t="s">
        <v>115</v>
      </c>
      <c r="E5" s="13" t="s">
        <v>116</v>
      </c>
      <c r="F5" s="13" t="s">
        <v>117</v>
      </c>
      <c r="G5" s="3" t="s">
        <v>119</v>
      </c>
      <c r="H5" s="3" t="s">
        <v>120</v>
      </c>
      <c r="I5" s="3" t="s">
        <v>121</v>
      </c>
      <c r="J5" s="13" t="s">
        <v>122</v>
      </c>
      <c r="K5" s="3" t="s">
        <v>123</v>
      </c>
      <c r="L5" s="17" t="s">
        <v>124</v>
      </c>
      <c r="M5" s="17" t="s">
        <v>125</v>
      </c>
      <c r="N5" s="32"/>
      <c r="O5" s="34"/>
      <c r="P5" s="32"/>
      <c r="Q5" s="32"/>
      <c r="R5" s="32"/>
      <c r="S5" s="32"/>
      <c r="T5" s="32"/>
      <c r="U5" s="34"/>
      <c r="V5" s="32"/>
      <c r="W5" s="32"/>
      <c r="X5" s="32"/>
      <c r="Y5" s="32"/>
      <c r="Z5" s="34"/>
      <c r="AA5" s="32"/>
      <c r="AB5" s="32"/>
      <c r="AC5" s="32"/>
      <c r="AD5" s="32"/>
      <c r="AE5" s="34"/>
      <c r="AF5" s="32"/>
      <c r="AG5" s="32"/>
      <c r="AH5" s="32"/>
      <c r="AI5" s="32"/>
      <c r="AJ5" s="34"/>
      <c r="AK5" s="32"/>
      <c r="AL5" s="32"/>
      <c r="AM5" s="32"/>
      <c r="AN5" s="32"/>
      <c r="AO5" s="34"/>
      <c r="AP5" s="32"/>
      <c r="AQ5" s="32"/>
      <c r="AR5" s="32"/>
      <c r="AS5" s="32"/>
      <c r="AT5" s="34"/>
      <c r="AU5" s="32"/>
      <c r="AV5" s="32"/>
      <c r="AW5" s="32"/>
      <c r="AX5" s="32"/>
    </row>
    <row r="6" spans="1:50" x14ac:dyDescent="0.2">
      <c r="A6" s="22" t="s">
        <v>0</v>
      </c>
      <c r="B6" s="1" t="s">
        <v>110</v>
      </c>
      <c r="C6" s="1" t="s">
        <v>81</v>
      </c>
      <c r="D6" s="1">
        <v>215</v>
      </c>
      <c r="E6" s="1">
        <v>137</v>
      </c>
      <c r="F6" s="4">
        <f>D6+E6</f>
        <v>352</v>
      </c>
      <c r="G6" s="1">
        <v>207</v>
      </c>
      <c r="H6" s="1">
        <v>129</v>
      </c>
      <c r="I6" s="4">
        <f>G6+H6</f>
        <v>336</v>
      </c>
      <c r="J6" s="18">
        <f>1-(I6/F6)</f>
        <v>4.5454545454545414E-2</v>
      </c>
      <c r="K6" s="19">
        <v>0.78900000000000003</v>
      </c>
      <c r="L6" s="24">
        <v>24.158208955223881</v>
      </c>
      <c r="M6" s="24">
        <v>12.038935701732878</v>
      </c>
      <c r="N6" s="2">
        <v>0.59</v>
      </c>
      <c r="O6" s="12">
        <f>SUM(W6,AB6,AG6,AL6,AQ6,AV6)</f>
        <v>44998</v>
      </c>
      <c r="P6" s="11">
        <f>O6/I6</f>
        <v>133.92261904761904</v>
      </c>
      <c r="Q6" s="8">
        <f>SUM(U6,Z6,AE6,AJ6,AO6,AT6)</f>
        <v>1045</v>
      </c>
      <c r="R6" s="8">
        <f>SUM(V6,AA6,AF6,AK6,AP6,AU6)</f>
        <v>58277</v>
      </c>
      <c r="S6" s="9">
        <f>Q6/R6</f>
        <v>1.7931602519004067E-2</v>
      </c>
      <c r="T6" s="9">
        <f>I6/Q6</f>
        <v>0.32153110047846889</v>
      </c>
      <c r="U6" s="7"/>
      <c r="V6" s="7"/>
      <c r="W6" s="10"/>
      <c r="X6" s="9"/>
      <c r="Y6" s="10"/>
      <c r="Z6" s="7"/>
      <c r="AA6" s="7"/>
      <c r="AB6" s="10"/>
      <c r="AC6" s="7"/>
      <c r="AD6" s="7"/>
      <c r="AE6" s="7">
        <f>549+496</f>
        <v>1045</v>
      </c>
      <c r="AF6" s="7">
        <f>31698+26579</f>
        <v>58277</v>
      </c>
      <c r="AG6" s="10">
        <f>22500+22498</f>
        <v>44998</v>
      </c>
      <c r="AH6" s="9">
        <f>AE6/AF6</f>
        <v>1.7931602519004067E-2</v>
      </c>
      <c r="AI6" s="10">
        <f>AG6/AE6</f>
        <v>43.060287081339716</v>
      </c>
      <c r="AJ6" s="7"/>
      <c r="AK6" s="7"/>
      <c r="AL6" s="10"/>
      <c r="AM6" s="7"/>
      <c r="AN6" s="7"/>
      <c r="AO6" s="7"/>
      <c r="AP6" s="7"/>
      <c r="AQ6" s="10"/>
      <c r="AR6" s="7"/>
      <c r="AS6" s="7"/>
      <c r="AT6" s="7"/>
      <c r="AU6" s="7"/>
      <c r="AV6" s="7"/>
      <c r="AW6" s="7"/>
      <c r="AX6" s="7"/>
    </row>
    <row r="7" spans="1:50" x14ac:dyDescent="0.2">
      <c r="A7" s="22" t="s">
        <v>8</v>
      </c>
      <c r="B7" s="1" t="s">
        <v>38</v>
      </c>
      <c r="C7" s="1" t="s">
        <v>82</v>
      </c>
      <c r="D7" s="1">
        <v>319</v>
      </c>
      <c r="E7" s="1">
        <v>248</v>
      </c>
      <c r="F7" s="4">
        <f>D7+E7</f>
        <v>567</v>
      </c>
      <c r="G7" s="1">
        <v>276</v>
      </c>
      <c r="H7" s="1">
        <v>223</v>
      </c>
      <c r="I7" s="4">
        <f t="shared" ref="I7:I43" si="0">G7+H7</f>
        <v>499</v>
      </c>
      <c r="J7" s="18">
        <f t="shared" ref="J7:J43" si="1">1-(I7/F7)</f>
        <v>0.11992945326278659</v>
      </c>
      <c r="K7" s="19">
        <v>0.92600000000000005</v>
      </c>
      <c r="L7" s="24">
        <v>22.428571428571427</v>
      </c>
      <c r="M7" s="24">
        <v>9.6389473730887172</v>
      </c>
      <c r="N7" s="2">
        <v>0.47</v>
      </c>
      <c r="O7" s="12">
        <f t="shared" ref="O7:O43" si="2">SUM(W7,AB7,AG7,AL7,AQ7,AV7)</f>
        <v>18818</v>
      </c>
      <c r="P7" s="11">
        <f>O7/I7</f>
        <v>37.711422845691381</v>
      </c>
      <c r="Q7" s="8">
        <f t="shared" ref="Q7:Q43" si="3">SUM(U7,Z7,AE7,AJ7,AO7,AT7)</f>
        <v>4364</v>
      </c>
      <c r="R7" s="8">
        <f t="shared" ref="R7:R43" si="4">SUM(V7,AA7,AF7,AK7,AP7,AU7)</f>
        <v>218727</v>
      </c>
      <c r="S7" s="9">
        <f t="shared" ref="S7:S43" si="5">Q7/R7</f>
        <v>1.9951812076241159E-2</v>
      </c>
      <c r="T7" s="9">
        <f>I7/Q7</f>
        <v>0.11434463794683776</v>
      </c>
      <c r="U7" s="7"/>
      <c r="V7" s="7"/>
      <c r="W7" s="10"/>
      <c r="X7" s="9"/>
      <c r="Y7" s="10"/>
      <c r="Z7" s="7"/>
      <c r="AA7" s="7"/>
      <c r="AB7" s="10"/>
      <c r="AC7" s="7"/>
      <c r="AD7" s="7"/>
      <c r="AE7" s="7"/>
      <c r="AF7" s="7"/>
      <c r="AG7" s="10"/>
      <c r="AH7" s="7"/>
      <c r="AI7" s="7"/>
      <c r="AJ7" s="7">
        <v>2874</v>
      </c>
      <c r="AK7" s="7">
        <v>155071</v>
      </c>
      <c r="AL7" s="10">
        <v>14657</v>
      </c>
      <c r="AM7" s="9">
        <f>AJ7/AK7</f>
        <v>1.8533445969910557E-2</v>
      </c>
      <c r="AN7" s="10">
        <f>AL7/AJ7</f>
        <v>5.0998608211551844</v>
      </c>
      <c r="AO7" s="7">
        <f>794+696</f>
        <v>1490</v>
      </c>
      <c r="AP7" s="7">
        <f>33194+30462</f>
        <v>63656</v>
      </c>
      <c r="AQ7" s="10">
        <f>2076+2085</f>
        <v>4161</v>
      </c>
      <c r="AR7" s="9">
        <f>AO7/AP7</f>
        <v>2.3407062963428427E-2</v>
      </c>
      <c r="AS7" s="10">
        <f>AQ7/AO7</f>
        <v>2.7926174496644296</v>
      </c>
      <c r="AT7" s="7"/>
      <c r="AU7" s="7"/>
      <c r="AV7" s="7"/>
      <c r="AW7" s="7"/>
      <c r="AX7" s="7"/>
    </row>
    <row r="8" spans="1:50" x14ac:dyDescent="0.2">
      <c r="A8" s="22" t="s">
        <v>1</v>
      </c>
      <c r="B8" s="1" t="s">
        <v>40</v>
      </c>
      <c r="C8" s="1" t="s">
        <v>83</v>
      </c>
      <c r="D8" s="1">
        <v>236</v>
      </c>
      <c r="E8" s="1">
        <v>204</v>
      </c>
      <c r="F8" s="4">
        <f>D8+E8</f>
        <v>440</v>
      </c>
      <c r="G8" s="1">
        <v>225</v>
      </c>
      <c r="H8" s="1">
        <v>193</v>
      </c>
      <c r="I8" s="4">
        <f t="shared" si="0"/>
        <v>418</v>
      </c>
      <c r="J8" s="18">
        <f t="shared" si="1"/>
        <v>5.0000000000000044E-2</v>
      </c>
      <c r="K8" s="19">
        <v>0.84699999999999998</v>
      </c>
      <c r="L8" s="24">
        <v>38.770531400966185</v>
      </c>
      <c r="M8" s="24">
        <v>20.258092603690244</v>
      </c>
      <c r="N8" s="2">
        <v>0.56000000000000005</v>
      </c>
      <c r="O8" s="12">
        <f t="shared" si="2"/>
        <v>62452</v>
      </c>
      <c r="P8" s="11">
        <f>O8/I8</f>
        <v>149.40669856459331</v>
      </c>
      <c r="Q8" s="8">
        <f t="shared" si="3"/>
        <v>1930</v>
      </c>
      <c r="R8" s="8">
        <f t="shared" si="4"/>
        <v>96383</v>
      </c>
      <c r="S8" s="9">
        <f t="shared" si="5"/>
        <v>2.0024278140335951E-2</v>
      </c>
      <c r="T8" s="9">
        <f>I8/Q8</f>
        <v>0.21658031088082902</v>
      </c>
      <c r="U8" s="7"/>
      <c r="V8" s="7"/>
      <c r="W8" s="10"/>
      <c r="X8" s="9"/>
      <c r="Y8" s="10"/>
      <c r="Z8" s="7"/>
      <c r="AA8" s="7"/>
      <c r="AB8" s="10"/>
      <c r="AC8" s="7"/>
      <c r="AD8" s="7"/>
      <c r="AE8" s="7">
        <f>493+512</f>
        <v>1005</v>
      </c>
      <c r="AF8" s="7">
        <f>32878+28330</f>
        <v>61208</v>
      </c>
      <c r="AG8" s="10">
        <f>21000+21000</f>
        <v>42000</v>
      </c>
      <c r="AH8" s="9">
        <f>AE8/AF8</f>
        <v>1.6419422297738857E-2</v>
      </c>
      <c r="AI8" s="10">
        <f>AG8/AE8</f>
        <v>41.791044776119406</v>
      </c>
      <c r="AJ8" s="7"/>
      <c r="AK8" s="7"/>
      <c r="AL8" s="10"/>
      <c r="AM8" s="7"/>
      <c r="AN8" s="7"/>
      <c r="AO8" s="7">
        <f>430+495</f>
        <v>925</v>
      </c>
      <c r="AP8" s="7">
        <f>17143+18032</f>
        <v>35175</v>
      </c>
      <c r="AQ8" s="10">
        <f>10226*2</f>
        <v>20452</v>
      </c>
      <c r="AR8" s="9">
        <f>AO8/AP8</f>
        <v>2.6297085998578537E-2</v>
      </c>
      <c r="AS8" s="10">
        <f>AQ8/AO8</f>
        <v>22.11027027027027</v>
      </c>
      <c r="AT8" s="7"/>
      <c r="AU8" s="7"/>
      <c r="AV8" s="7"/>
      <c r="AW8" s="7"/>
      <c r="AX8" s="7"/>
    </row>
    <row r="9" spans="1:50" x14ac:dyDescent="0.2">
      <c r="A9" s="22" t="s">
        <v>10</v>
      </c>
      <c r="B9" s="1" t="s">
        <v>41</v>
      </c>
      <c r="C9" s="1" t="s">
        <v>84</v>
      </c>
      <c r="D9" s="1">
        <v>108</v>
      </c>
      <c r="E9" s="1">
        <v>372</v>
      </c>
      <c r="F9" s="4">
        <f>D9+E9</f>
        <v>480</v>
      </c>
      <c r="G9" s="1">
        <v>106</v>
      </c>
      <c r="H9" s="1">
        <v>360</v>
      </c>
      <c r="I9" s="4">
        <f t="shared" si="0"/>
        <v>466</v>
      </c>
      <c r="J9" s="18">
        <f t="shared" si="1"/>
        <v>2.9166666666666674E-2</v>
      </c>
      <c r="K9" s="19">
        <v>0.91</v>
      </c>
      <c r="L9" s="24">
        <v>30.756989247311829</v>
      </c>
      <c r="M9" s="24">
        <v>13.161753940030239</v>
      </c>
      <c r="N9" s="2">
        <v>0.6</v>
      </c>
      <c r="O9" s="12">
        <f t="shared" si="2"/>
        <v>21397</v>
      </c>
      <c r="P9" s="11">
        <f>O9/I9</f>
        <v>45.916309012875537</v>
      </c>
      <c r="Q9" s="8">
        <f t="shared" si="3"/>
        <v>5312</v>
      </c>
      <c r="R9" s="8">
        <f t="shared" si="4"/>
        <v>236921</v>
      </c>
      <c r="S9" s="9">
        <f t="shared" si="5"/>
        <v>2.2420975768294073E-2</v>
      </c>
      <c r="T9" s="9">
        <f>I9/Q9</f>
        <v>8.7725903614457826E-2</v>
      </c>
      <c r="U9" s="7"/>
      <c r="V9" s="7"/>
      <c r="W9" s="10"/>
      <c r="X9" s="9"/>
      <c r="Y9" s="10"/>
      <c r="Z9" s="7"/>
      <c r="AA9" s="7"/>
      <c r="AB9" s="10"/>
      <c r="AC9" s="7"/>
      <c r="AD9" s="7"/>
      <c r="AE9" s="7"/>
      <c r="AF9" s="7"/>
      <c r="AG9" s="10"/>
      <c r="AH9" s="7"/>
      <c r="AI9" s="7"/>
      <c r="AJ9" s="7">
        <v>1240</v>
      </c>
      <c r="AK9" s="7">
        <v>63036</v>
      </c>
      <c r="AL9" s="10">
        <v>7330</v>
      </c>
      <c r="AM9" s="9">
        <f t="shared" ref="AM9:AM17" si="6">AJ9/AK9</f>
        <v>1.9671298940288091E-2</v>
      </c>
      <c r="AN9" s="10">
        <f t="shared" ref="AN9:AN17" si="7">AL9/AJ9</f>
        <v>5.911290322580645</v>
      </c>
      <c r="AO9" s="7"/>
      <c r="AP9" s="7"/>
      <c r="AQ9" s="10"/>
      <c r="AR9" s="7"/>
      <c r="AS9" s="7"/>
      <c r="AT9" s="7">
        <f>1791+2281</f>
        <v>4072</v>
      </c>
      <c r="AU9" s="7">
        <f>88591+85294</f>
        <v>173885</v>
      </c>
      <c r="AV9" s="10">
        <f>6916+7151</f>
        <v>14067</v>
      </c>
      <c r="AW9" s="9">
        <f>AT9/AU9</f>
        <v>2.341777611639877E-2</v>
      </c>
      <c r="AX9" s="10">
        <f>AV9/AT9</f>
        <v>3.4545677799607071</v>
      </c>
    </row>
    <row r="10" spans="1:50" x14ac:dyDescent="0.2">
      <c r="A10" s="22" t="s">
        <v>11</v>
      </c>
      <c r="B10" s="1" t="s">
        <v>42</v>
      </c>
      <c r="C10" s="1" t="s">
        <v>84</v>
      </c>
      <c r="D10" s="1">
        <v>252</v>
      </c>
      <c r="E10" s="1">
        <v>495</v>
      </c>
      <c r="F10" s="4">
        <f>D10+E10</f>
        <v>747</v>
      </c>
      <c r="G10" s="1">
        <v>244</v>
      </c>
      <c r="H10" s="1">
        <v>466</v>
      </c>
      <c r="I10" s="4">
        <f t="shared" si="0"/>
        <v>710</v>
      </c>
      <c r="J10" s="18">
        <f t="shared" si="1"/>
        <v>4.9531459170013337E-2</v>
      </c>
      <c r="K10" s="19">
        <v>0.85899999999999999</v>
      </c>
      <c r="L10" s="24">
        <v>27.137588652482268</v>
      </c>
      <c r="M10" s="24">
        <v>10.480884514193976</v>
      </c>
      <c r="N10" s="2">
        <v>0.43</v>
      </c>
      <c r="O10" s="12">
        <f t="shared" si="2"/>
        <v>40354</v>
      </c>
      <c r="P10" s="11">
        <f>O10/I10</f>
        <v>56.836619718309862</v>
      </c>
      <c r="Q10" s="8">
        <f t="shared" si="3"/>
        <v>13546</v>
      </c>
      <c r="R10" s="8">
        <f t="shared" si="4"/>
        <v>585125</v>
      </c>
      <c r="S10" s="9">
        <f t="shared" si="5"/>
        <v>2.3150608844264047E-2</v>
      </c>
      <c r="T10" s="9">
        <f>I10/Q10</f>
        <v>5.2413996751808654E-2</v>
      </c>
      <c r="U10" s="7"/>
      <c r="V10" s="7"/>
      <c r="W10" s="10"/>
      <c r="X10" s="9"/>
      <c r="Y10" s="10"/>
      <c r="Z10" s="7"/>
      <c r="AA10" s="7"/>
      <c r="AB10" s="10"/>
      <c r="AC10" s="7"/>
      <c r="AD10" s="7"/>
      <c r="AE10" s="7"/>
      <c r="AF10" s="7"/>
      <c r="AG10" s="10"/>
      <c r="AH10" s="7"/>
      <c r="AI10" s="7"/>
      <c r="AJ10" s="7">
        <v>2219</v>
      </c>
      <c r="AK10" s="7">
        <v>120697</v>
      </c>
      <c r="AL10" s="10">
        <v>10496</v>
      </c>
      <c r="AM10" s="9">
        <f t="shared" si="6"/>
        <v>1.8384881148661523E-2</v>
      </c>
      <c r="AN10" s="10">
        <f t="shared" si="7"/>
        <v>4.7300585849481749</v>
      </c>
      <c r="AO10" s="7"/>
      <c r="AP10" s="7"/>
      <c r="AQ10" s="10"/>
      <c r="AR10" s="7"/>
      <c r="AS10" s="7"/>
      <c r="AT10" s="7">
        <f>6029+5298</f>
        <v>11327</v>
      </c>
      <c r="AU10" s="7">
        <f>245564+218864</f>
        <v>464428</v>
      </c>
      <c r="AV10" s="10">
        <f>17143+12715</f>
        <v>29858</v>
      </c>
      <c r="AW10" s="9">
        <f>AT10/AU10</f>
        <v>2.4389141050927161E-2</v>
      </c>
      <c r="AX10" s="10">
        <f>AV10/AT10</f>
        <v>2.63600247196963</v>
      </c>
    </row>
    <row r="11" spans="1:50" x14ac:dyDescent="0.2">
      <c r="A11" s="22" t="s">
        <v>12</v>
      </c>
      <c r="B11" s="1" t="s">
        <v>44</v>
      </c>
      <c r="C11" s="1" t="s">
        <v>85</v>
      </c>
      <c r="D11" s="1">
        <v>144</v>
      </c>
      <c r="E11" s="1">
        <v>120</v>
      </c>
      <c r="F11" s="4">
        <f>D11+E11</f>
        <v>264</v>
      </c>
      <c r="G11" s="1">
        <v>122</v>
      </c>
      <c r="H11" s="1">
        <v>106</v>
      </c>
      <c r="I11" s="4">
        <f t="shared" si="0"/>
        <v>228</v>
      </c>
      <c r="J11" s="18">
        <f t="shared" si="1"/>
        <v>0.13636363636363635</v>
      </c>
      <c r="K11" s="19">
        <v>0.64800000000000002</v>
      </c>
      <c r="L11" s="24">
        <v>26.209302325581394</v>
      </c>
      <c r="M11" s="24">
        <v>10.930874860317013</v>
      </c>
      <c r="N11" s="2">
        <v>0.23</v>
      </c>
      <c r="O11" s="12">
        <f t="shared" si="2"/>
        <v>56020</v>
      </c>
      <c r="P11" s="11">
        <f>O11/I11</f>
        <v>245.7017543859649</v>
      </c>
      <c r="Q11" s="8">
        <f t="shared" si="3"/>
        <v>18131</v>
      </c>
      <c r="R11" s="8">
        <f t="shared" si="4"/>
        <v>576572</v>
      </c>
      <c r="S11" s="9">
        <f t="shared" si="5"/>
        <v>3.1446202729234166E-2</v>
      </c>
      <c r="T11" s="9">
        <f>I11/Q11</f>
        <v>1.2575147537366941E-2</v>
      </c>
      <c r="U11" s="7"/>
      <c r="V11" s="7"/>
      <c r="W11" s="10"/>
      <c r="X11" s="9"/>
      <c r="Y11" s="10"/>
      <c r="Z11" s="7"/>
      <c r="AA11" s="7"/>
      <c r="AB11" s="10"/>
      <c r="AC11" s="7"/>
      <c r="AD11" s="7"/>
      <c r="AE11" s="7"/>
      <c r="AF11" s="7"/>
      <c r="AG11" s="10"/>
      <c r="AH11" s="7"/>
      <c r="AI11" s="7"/>
      <c r="AJ11" s="7">
        <v>2382</v>
      </c>
      <c r="AK11" s="7">
        <v>139311</v>
      </c>
      <c r="AL11" s="10">
        <v>9834</v>
      </c>
      <c r="AM11" s="9">
        <f t="shared" si="6"/>
        <v>1.7098434438055862E-2</v>
      </c>
      <c r="AN11" s="10">
        <f t="shared" si="7"/>
        <v>4.1284634760705288</v>
      </c>
      <c r="AO11" s="7">
        <f>7775+7974</f>
        <v>15749</v>
      </c>
      <c r="AP11" s="7">
        <f>202093+235168</f>
        <v>437261</v>
      </c>
      <c r="AQ11" s="10">
        <f>21500+24686</f>
        <v>46186</v>
      </c>
      <c r="AR11" s="9">
        <f>AO11/AP11</f>
        <v>3.6017390071376137E-2</v>
      </c>
      <c r="AS11" s="10">
        <f>AQ11/AO11</f>
        <v>2.9326306432154423</v>
      </c>
      <c r="AT11" s="7"/>
      <c r="AU11" s="7"/>
      <c r="AV11" s="7"/>
      <c r="AW11" s="7"/>
      <c r="AX11" s="7"/>
    </row>
    <row r="12" spans="1:50" x14ac:dyDescent="0.2">
      <c r="A12" s="22" t="s">
        <v>13</v>
      </c>
      <c r="B12" s="1" t="s">
        <v>45</v>
      </c>
      <c r="C12" s="1" t="s">
        <v>86</v>
      </c>
      <c r="D12" s="1">
        <v>193</v>
      </c>
      <c r="E12" s="1">
        <v>271</v>
      </c>
      <c r="F12" s="4">
        <f>D12+E12</f>
        <v>464</v>
      </c>
      <c r="G12" s="1">
        <v>178</v>
      </c>
      <c r="H12" s="1">
        <v>249</v>
      </c>
      <c r="I12" s="4">
        <f t="shared" si="0"/>
        <v>427</v>
      </c>
      <c r="J12" s="18">
        <f t="shared" si="1"/>
        <v>7.9741379310344862E-2</v>
      </c>
      <c r="K12" s="19">
        <v>0.95099999999999996</v>
      </c>
      <c r="L12" s="24">
        <v>30.124105011933175</v>
      </c>
      <c r="M12" s="24">
        <v>12.906690018102852</v>
      </c>
      <c r="N12" s="2">
        <v>0.4</v>
      </c>
      <c r="O12" s="12">
        <f t="shared" si="2"/>
        <v>13501</v>
      </c>
      <c r="P12" s="11">
        <f>O12/I12</f>
        <v>31.618266978922716</v>
      </c>
      <c r="Q12" s="8">
        <f t="shared" si="3"/>
        <v>1288</v>
      </c>
      <c r="R12" s="8">
        <f t="shared" si="4"/>
        <v>39576</v>
      </c>
      <c r="S12" s="9">
        <f t="shared" si="5"/>
        <v>3.2544976753588035E-2</v>
      </c>
      <c r="T12" s="9">
        <f>I12/Q12</f>
        <v>0.33152173913043476</v>
      </c>
      <c r="U12" s="7"/>
      <c r="V12" s="7"/>
      <c r="W12" s="10"/>
      <c r="X12" s="9"/>
      <c r="Y12" s="10"/>
      <c r="Z12" s="7"/>
      <c r="AA12" s="7"/>
      <c r="AB12" s="10"/>
      <c r="AC12" s="7"/>
      <c r="AD12" s="7"/>
      <c r="AE12" s="7"/>
      <c r="AF12" s="7"/>
      <c r="AG12" s="10"/>
      <c r="AH12" s="7"/>
      <c r="AI12" s="7"/>
      <c r="AJ12" s="7">
        <v>719</v>
      </c>
      <c r="AK12" s="7">
        <v>21863</v>
      </c>
      <c r="AL12" s="10">
        <v>8083</v>
      </c>
      <c r="AM12" s="9">
        <f t="shared" si="6"/>
        <v>3.288661208434341E-2</v>
      </c>
      <c r="AN12" s="10">
        <f t="shared" si="7"/>
        <v>11.242002781641169</v>
      </c>
      <c r="AO12" s="7">
        <v>569</v>
      </c>
      <c r="AP12" s="7">
        <v>17713</v>
      </c>
      <c r="AQ12" s="10">
        <v>5418</v>
      </c>
      <c r="AR12" s="9">
        <f>AO12/AP12</f>
        <v>3.2123299271721334E-2</v>
      </c>
      <c r="AS12" s="10">
        <f>AQ12/AO12</f>
        <v>9.5219683655536027</v>
      </c>
      <c r="AT12" s="7"/>
      <c r="AU12" s="7"/>
      <c r="AV12" s="7"/>
      <c r="AW12" s="7"/>
      <c r="AX12" s="7"/>
    </row>
    <row r="13" spans="1:50" x14ac:dyDescent="0.2">
      <c r="A13" s="22" t="s">
        <v>14</v>
      </c>
      <c r="B13" s="1" t="s">
        <v>46</v>
      </c>
      <c r="C13" s="1" t="s">
        <v>87</v>
      </c>
      <c r="D13" s="1">
        <v>310</v>
      </c>
      <c r="E13" s="1">
        <v>367</v>
      </c>
      <c r="F13" s="4">
        <f>D13+E13</f>
        <v>677</v>
      </c>
      <c r="G13" s="1">
        <v>299</v>
      </c>
      <c r="H13" s="1">
        <v>350</v>
      </c>
      <c r="I13" s="4">
        <f t="shared" si="0"/>
        <v>649</v>
      </c>
      <c r="J13" s="18">
        <f t="shared" si="1"/>
        <v>4.1358936484490405E-2</v>
      </c>
      <c r="K13" s="19">
        <v>0.91</v>
      </c>
      <c r="L13" s="24">
        <v>27.402476780185758</v>
      </c>
      <c r="M13" s="24">
        <v>12.220541611029432</v>
      </c>
      <c r="N13" s="2">
        <v>0.47</v>
      </c>
      <c r="O13" s="12">
        <f t="shared" si="2"/>
        <v>104008</v>
      </c>
      <c r="P13" s="11">
        <f>O13/I13</f>
        <v>160.25885978428352</v>
      </c>
      <c r="Q13" s="8">
        <f t="shared" si="3"/>
        <v>4918</v>
      </c>
      <c r="R13" s="8">
        <f t="shared" si="4"/>
        <v>289922</v>
      </c>
      <c r="S13" s="9">
        <f t="shared" si="5"/>
        <v>1.6963183200998891E-2</v>
      </c>
      <c r="T13" s="9">
        <f>I13/Q13</f>
        <v>0.13196421309475395</v>
      </c>
      <c r="U13" s="7"/>
      <c r="V13" s="7"/>
      <c r="W13" s="10"/>
      <c r="X13" s="9"/>
      <c r="Y13" s="10"/>
      <c r="Z13" s="7"/>
      <c r="AA13" s="7"/>
      <c r="AB13" s="10"/>
      <c r="AC13" s="7"/>
      <c r="AD13" s="7"/>
      <c r="AE13" s="7"/>
      <c r="AF13" s="7"/>
      <c r="AG13" s="10"/>
      <c r="AH13" s="7"/>
      <c r="AI13" s="7"/>
      <c r="AJ13" s="7">
        <v>1467</v>
      </c>
      <c r="AK13" s="7">
        <v>74735</v>
      </c>
      <c r="AL13" s="10">
        <v>27000</v>
      </c>
      <c r="AM13" s="9">
        <f t="shared" si="6"/>
        <v>1.9629357061617714E-2</v>
      </c>
      <c r="AN13" s="10">
        <f t="shared" si="7"/>
        <v>18.404907975460123</v>
      </c>
      <c r="AO13" s="7">
        <f>1531+1920</f>
        <v>3451</v>
      </c>
      <c r="AP13" s="7">
        <f>104852+110335</f>
        <v>215187</v>
      </c>
      <c r="AQ13" s="10">
        <f>38504*2</f>
        <v>77008</v>
      </c>
      <c r="AR13" s="9">
        <f>AO13/AP13</f>
        <v>1.6037214143977099E-2</v>
      </c>
      <c r="AS13" s="10">
        <f>AQ13/AO13</f>
        <v>22.314691393798899</v>
      </c>
      <c r="AT13" s="7"/>
      <c r="AU13" s="7"/>
      <c r="AV13" s="7"/>
      <c r="AW13" s="7"/>
      <c r="AX13" s="7"/>
    </row>
    <row r="14" spans="1:50" x14ac:dyDescent="0.2">
      <c r="A14" s="22" t="s">
        <v>15</v>
      </c>
      <c r="B14" s="1" t="s">
        <v>45</v>
      </c>
      <c r="C14" s="1" t="s">
        <v>88</v>
      </c>
      <c r="D14" s="1">
        <v>166</v>
      </c>
      <c r="E14" s="1">
        <v>240</v>
      </c>
      <c r="F14" s="4">
        <f>D14+E14</f>
        <v>406</v>
      </c>
      <c r="G14" s="1">
        <v>164</v>
      </c>
      <c r="H14" s="1">
        <v>231</v>
      </c>
      <c r="I14" s="4">
        <f t="shared" si="0"/>
        <v>395</v>
      </c>
      <c r="J14" s="18">
        <f t="shared" si="1"/>
        <v>2.7093596059113323E-2</v>
      </c>
      <c r="K14" s="19">
        <v>0.96499999999999997</v>
      </c>
      <c r="L14" s="24">
        <v>23.841836734693878</v>
      </c>
      <c r="M14" s="24">
        <v>8.1864765719944135</v>
      </c>
      <c r="N14" s="2">
        <v>0.34</v>
      </c>
      <c r="O14" s="12">
        <f t="shared" si="2"/>
        <v>79950</v>
      </c>
      <c r="P14" s="11">
        <f>O14/I14</f>
        <v>202.40506329113924</v>
      </c>
      <c r="Q14" s="8">
        <f t="shared" si="3"/>
        <v>2611</v>
      </c>
      <c r="R14" s="8">
        <f t="shared" si="4"/>
        <v>144183</v>
      </c>
      <c r="S14" s="9">
        <f t="shared" si="5"/>
        <v>1.810893101128427E-2</v>
      </c>
      <c r="T14" s="9">
        <f>I14/Q14</f>
        <v>0.15128303332056683</v>
      </c>
      <c r="U14" s="7"/>
      <c r="V14" s="7"/>
      <c r="W14" s="10"/>
      <c r="X14" s="9"/>
      <c r="Y14" s="10"/>
      <c r="Z14" s="7"/>
      <c r="AA14" s="7"/>
      <c r="AB14" s="10"/>
      <c r="AC14" s="7"/>
      <c r="AD14" s="7"/>
      <c r="AE14" s="7"/>
      <c r="AF14" s="7"/>
      <c r="AG14" s="10"/>
      <c r="AH14" s="7"/>
      <c r="AI14" s="7"/>
      <c r="AJ14" s="7">
        <v>1009</v>
      </c>
      <c r="AK14" s="7">
        <v>52720</v>
      </c>
      <c r="AL14" s="10">
        <v>33750</v>
      </c>
      <c r="AM14" s="9">
        <f t="shared" si="6"/>
        <v>1.9138846737481032E-2</v>
      </c>
      <c r="AN14" s="10">
        <f t="shared" si="7"/>
        <v>33.448959365708625</v>
      </c>
      <c r="AO14" s="7">
        <v>1602</v>
      </c>
      <c r="AP14" s="7">
        <v>91463</v>
      </c>
      <c r="AQ14" s="10">
        <v>46200</v>
      </c>
      <c r="AR14" s="9">
        <f>AO14/AP14</f>
        <v>1.7515279402599958E-2</v>
      </c>
      <c r="AS14" s="10">
        <f>AQ14/AO14</f>
        <v>28.838951310861422</v>
      </c>
      <c r="AT14" s="7"/>
      <c r="AU14" s="7"/>
      <c r="AV14" s="7"/>
      <c r="AW14" s="7"/>
      <c r="AX14" s="7"/>
    </row>
    <row r="15" spans="1:50" x14ac:dyDescent="0.2">
      <c r="A15" s="22" t="s">
        <v>16</v>
      </c>
      <c r="B15" s="1" t="s">
        <v>51</v>
      </c>
      <c r="C15" s="1" t="s">
        <v>89</v>
      </c>
      <c r="D15" s="1">
        <v>221</v>
      </c>
      <c r="E15" s="1">
        <v>150</v>
      </c>
      <c r="F15" s="4">
        <f>D15+E15</f>
        <v>371</v>
      </c>
      <c r="G15" s="1">
        <v>206</v>
      </c>
      <c r="H15" s="1">
        <v>144</v>
      </c>
      <c r="I15" s="4">
        <f t="shared" si="0"/>
        <v>350</v>
      </c>
      <c r="J15" s="18">
        <f t="shared" si="1"/>
        <v>5.6603773584905648E-2</v>
      </c>
      <c r="K15" s="19">
        <v>0.83699999999999997</v>
      </c>
      <c r="L15" s="24">
        <v>27</v>
      </c>
      <c r="M15" s="24">
        <v>12.393360146568137</v>
      </c>
      <c r="N15" s="2">
        <v>0.65</v>
      </c>
      <c r="O15" s="12">
        <f t="shared" si="2"/>
        <v>48064</v>
      </c>
      <c r="P15" s="11">
        <f>O15/I15</f>
        <v>137.3257142857143</v>
      </c>
      <c r="Q15" s="8">
        <f t="shared" si="3"/>
        <v>2313</v>
      </c>
      <c r="R15" s="8">
        <f t="shared" si="4"/>
        <v>98456</v>
      </c>
      <c r="S15" s="9">
        <f t="shared" si="5"/>
        <v>2.3492727715934022E-2</v>
      </c>
      <c r="T15" s="9">
        <f>I15/Q15</f>
        <v>0.15131863380890617</v>
      </c>
      <c r="U15" s="7"/>
      <c r="V15" s="7"/>
      <c r="W15" s="10"/>
      <c r="X15" s="9"/>
      <c r="Y15" s="10"/>
      <c r="Z15" s="7"/>
      <c r="AA15" s="7"/>
      <c r="AB15" s="10"/>
      <c r="AC15" s="7"/>
      <c r="AD15" s="7"/>
      <c r="AE15" s="7"/>
      <c r="AF15" s="7"/>
      <c r="AG15" s="10"/>
      <c r="AH15" s="7"/>
      <c r="AI15" s="7"/>
      <c r="AJ15" s="7">
        <v>1252</v>
      </c>
      <c r="AK15" s="7">
        <v>46470</v>
      </c>
      <c r="AL15" s="10">
        <v>25664</v>
      </c>
      <c r="AM15" s="9">
        <f t="shared" si="6"/>
        <v>2.6942113191306218E-2</v>
      </c>
      <c r="AN15" s="10">
        <f t="shared" si="7"/>
        <v>20.498402555910545</v>
      </c>
      <c r="AO15" s="7">
        <f>538+523</f>
        <v>1061</v>
      </c>
      <c r="AP15" s="7">
        <f>28895+23091</f>
        <v>51986</v>
      </c>
      <c r="AQ15" s="10">
        <f>11200*2</f>
        <v>22400</v>
      </c>
      <c r="AR15" s="9">
        <f>AO15/AP15</f>
        <v>2.0409340976416727E-2</v>
      </c>
      <c r="AS15" s="10">
        <f>AQ15/AO15</f>
        <v>21.112158341187559</v>
      </c>
      <c r="AT15" s="7"/>
      <c r="AU15" s="7"/>
      <c r="AV15" s="7"/>
      <c r="AW15" s="7"/>
      <c r="AX15" s="7"/>
    </row>
    <row r="16" spans="1:50" x14ac:dyDescent="0.2">
      <c r="A16" s="22" t="s">
        <v>18</v>
      </c>
      <c r="B16" s="1" t="s">
        <v>9</v>
      </c>
      <c r="C16" s="1" t="s">
        <v>90</v>
      </c>
      <c r="D16" s="1">
        <v>103</v>
      </c>
      <c r="E16" s="1">
        <v>253</v>
      </c>
      <c r="F16" s="4">
        <f>D16+E16</f>
        <v>356</v>
      </c>
      <c r="G16" s="1">
        <v>99</v>
      </c>
      <c r="H16" s="1">
        <v>225</v>
      </c>
      <c r="I16" s="4">
        <f t="shared" si="0"/>
        <v>324</v>
      </c>
      <c r="J16" s="18">
        <f t="shared" si="1"/>
        <v>8.98876404494382E-2</v>
      </c>
      <c r="K16" s="19">
        <v>0.89800000000000002</v>
      </c>
      <c r="L16" s="24">
        <v>33.953125</v>
      </c>
      <c r="M16" s="24">
        <v>15.550332564557538</v>
      </c>
      <c r="N16" s="2">
        <v>0.48</v>
      </c>
      <c r="O16" s="12">
        <f t="shared" si="2"/>
        <v>4276</v>
      </c>
      <c r="P16" s="11">
        <f>O16/I16</f>
        <v>13.197530864197532</v>
      </c>
      <c r="Q16" s="8">
        <f t="shared" si="3"/>
        <v>1106</v>
      </c>
      <c r="R16" s="8">
        <f t="shared" si="4"/>
        <v>41338</v>
      </c>
      <c r="S16" s="9">
        <f t="shared" si="5"/>
        <v>2.675504378537907E-2</v>
      </c>
      <c r="T16" s="9">
        <f>I16/Q16</f>
        <v>0.29294755877034356</v>
      </c>
      <c r="U16" s="7"/>
      <c r="V16" s="7"/>
      <c r="W16" s="10"/>
      <c r="X16" s="9"/>
      <c r="Y16" s="10"/>
      <c r="Z16" s="7"/>
      <c r="AA16" s="7"/>
      <c r="AB16" s="10"/>
      <c r="AC16" s="7"/>
      <c r="AD16" s="7"/>
      <c r="AE16" s="7"/>
      <c r="AF16" s="7"/>
      <c r="AG16" s="10"/>
      <c r="AH16" s="7"/>
      <c r="AI16" s="7"/>
      <c r="AJ16" s="7">
        <v>1106</v>
      </c>
      <c r="AK16" s="7">
        <v>41338</v>
      </c>
      <c r="AL16" s="10">
        <v>4276</v>
      </c>
      <c r="AM16" s="9">
        <f t="shared" si="6"/>
        <v>2.675504378537907E-2</v>
      </c>
      <c r="AN16" s="10">
        <f t="shared" si="7"/>
        <v>3.8661844484629295</v>
      </c>
      <c r="AO16" s="7"/>
      <c r="AP16" s="7"/>
      <c r="AQ16" s="10"/>
      <c r="AR16" s="7"/>
      <c r="AS16" s="7"/>
      <c r="AT16" s="7"/>
      <c r="AU16" s="7"/>
      <c r="AV16" s="7"/>
      <c r="AW16" s="7"/>
      <c r="AX16" s="7"/>
    </row>
    <row r="17" spans="1:50" x14ac:dyDescent="0.2">
      <c r="A17" s="22" t="s">
        <v>19</v>
      </c>
      <c r="B17" s="1" t="s">
        <v>9</v>
      </c>
      <c r="C17" s="1" t="s">
        <v>91</v>
      </c>
      <c r="D17" s="1">
        <v>174</v>
      </c>
      <c r="E17" s="1">
        <v>203</v>
      </c>
      <c r="F17" s="4">
        <f>D17+E17</f>
        <v>377</v>
      </c>
      <c r="G17" s="1">
        <v>166</v>
      </c>
      <c r="H17" s="1">
        <v>193</v>
      </c>
      <c r="I17" s="4">
        <f t="shared" si="0"/>
        <v>359</v>
      </c>
      <c r="J17" s="18">
        <f t="shared" si="1"/>
        <v>4.7745358090185652E-2</v>
      </c>
      <c r="K17" s="19">
        <v>0.89800000000000002</v>
      </c>
      <c r="L17" s="24">
        <v>20.02865329512894</v>
      </c>
      <c r="M17" s="24">
        <v>4.8144339574450239</v>
      </c>
      <c r="N17" s="2">
        <v>0.54</v>
      </c>
      <c r="O17" s="12">
        <f t="shared" si="2"/>
        <v>12949</v>
      </c>
      <c r="P17" s="11">
        <f>O17/I17</f>
        <v>36.069637883008355</v>
      </c>
      <c r="Q17" s="8">
        <f t="shared" si="3"/>
        <v>1247</v>
      </c>
      <c r="R17" s="8">
        <f t="shared" si="4"/>
        <v>36787</v>
      </c>
      <c r="S17" s="9">
        <f t="shared" si="5"/>
        <v>3.3897844347187865E-2</v>
      </c>
      <c r="T17" s="9">
        <f>I17/Q17</f>
        <v>0.28789093825180434</v>
      </c>
      <c r="U17" s="7"/>
      <c r="V17" s="7"/>
      <c r="W17" s="10"/>
      <c r="X17" s="9"/>
      <c r="Y17" s="10"/>
      <c r="Z17" s="7"/>
      <c r="AA17" s="7"/>
      <c r="AB17" s="10"/>
      <c r="AC17" s="7"/>
      <c r="AD17" s="7"/>
      <c r="AE17" s="7"/>
      <c r="AF17" s="7"/>
      <c r="AG17" s="10"/>
      <c r="AH17" s="7"/>
      <c r="AI17" s="7"/>
      <c r="AJ17" s="7">
        <v>1247</v>
      </c>
      <c r="AK17" s="7">
        <v>36787</v>
      </c>
      <c r="AL17" s="10">
        <v>12949</v>
      </c>
      <c r="AM17" s="9">
        <f t="shared" si="6"/>
        <v>3.3897844347187865E-2</v>
      </c>
      <c r="AN17" s="10">
        <f t="shared" si="7"/>
        <v>10.384121892542101</v>
      </c>
      <c r="AO17" s="7"/>
      <c r="AP17" s="7"/>
      <c r="AQ17" s="10"/>
      <c r="AR17" s="7"/>
      <c r="AS17" s="7"/>
      <c r="AT17" s="7"/>
      <c r="AU17" s="7"/>
      <c r="AV17" s="7"/>
      <c r="AW17" s="7"/>
      <c r="AX17" s="7"/>
    </row>
    <row r="18" spans="1:50" x14ac:dyDescent="0.2">
      <c r="A18" s="22" t="s">
        <v>2</v>
      </c>
      <c r="B18" s="1" t="s">
        <v>109</v>
      </c>
      <c r="C18" s="1" t="s">
        <v>92</v>
      </c>
      <c r="D18" s="1">
        <v>522</v>
      </c>
      <c r="E18" s="1">
        <v>333</v>
      </c>
      <c r="F18" s="4">
        <f>D18+E18</f>
        <v>855</v>
      </c>
      <c r="G18" s="1">
        <v>481</v>
      </c>
      <c r="H18" s="1">
        <v>305</v>
      </c>
      <c r="I18" s="4">
        <f t="shared" si="0"/>
        <v>786</v>
      </c>
      <c r="J18" s="18">
        <f t="shared" si="1"/>
        <v>8.0701754385964941E-2</v>
      </c>
      <c r="K18" s="19">
        <v>0.77100000000000002</v>
      </c>
      <c r="L18" s="24">
        <v>31.642857142857142</v>
      </c>
      <c r="M18" s="24">
        <v>12.456719452355307</v>
      </c>
      <c r="N18" s="2">
        <v>0.17</v>
      </c>
      <c r="O18" s="12">
        <f t="shared" si="2"/>
        <v>145517</v>
      </c>
      <c r="P18" s="11">
        <f>O18/I18</f>
        <v>185.13613231552162</v>
      </c>
      <c r="Q18" s="8">
        <f t="shared" si="3"/>
        <v>4157</v>
      </c>
      <c r="R18" s="8">
        <f t="shared" si="4"/>
        <v>232743</v>
      </c>
      <c r="S18" s="9">
        <f t="shared" si="5"/>
        <v>1.7860902368707115E-2</v>
      </c>
      <c r="T18" s="9">
        <f>I18/Q18</f>
        <v>0.18907866249699301</v>
      </c>
      <c r="U18" s="7">
        <v>766</v>
      </c>
      <c r="V18" s="7">
        <v>46066</v>
      </c>
      <c r="W18" s="10">
        <v>30000</v>
      </c>
      <c r="X18" s="9">
        <f>U18/V18</f>
        <v>1.6628315894586028E-2</v>
      </c>
      <c r="Y18" s="10">
        <f>W18/U18</f>
        <v>39.164490861618802</v>
      </c>
      <c r="Z18" s="7"/>
      <c r="AA18" s="7"/>
      <c r="AB18" s="10"/>
      <c r="AC18" s="7"/>
      <c r="AD18" s="7"/>
      <c r="AE18" s="7"/>
      <c r="AF18" s="7"/>
      <c r="AG18" s="10"/>
      <c r="AH18" s="7"/>
      <c r="AI18" s="7"/>
      <c r="AJ18" s="7"/>
      <c r="AK18" s="7"/>
      <c r="AL18" s="10"/>
      <c r="AM18" s="7"/>
      <c r="AN18" s="7"/>
      <c r="AO18" s="7">
        <v>3391</v>
      </c>
      <c r="AP18" s="7">
        <v>186677</v>
      </c>
      <c r="AQ18" s="10">
        <v>115517</v>
      </c>
      <c r="AR18" s="9">
        <f>AO18/AP18</f>
        <v>1.8165065862425472E-2</v>
      </c>
      <c r="AS18" s="10">
        <f>AQ18/AO18</f>
        <v>34.065762312002356</v>
      </c>
      <c r="AT18" s="7"/>
      <c r="AU18" s="7"/>
      <c r="AV18" s="7"/>
      <c r="AW18" s="7"/>
      <c r="AX18" s="7"/>
    </row>
    <row r="19" spans="1:50" x14ac:dyDescent="0.2">
      <c r="A19" s="22" t="s">
        <v>20</v>
      </c>
      <c r="B19" s="1" t="s">
        <v>46</v>
      </c>
      <c r="C19" s="1" t="s">
        <v>93</v>
      </c>
      <c r="D19" s="1">
        <v>156</v>
      </c>
      <c r="E19" s="1">
        <v>202</v>
      </c>
      <c r="F19" s="4">
        <f>D19+E19</f>
        <v>358</v>
      </c>
      <c r="G19" s="1">
        <v>130</v>
      </c>
      <c r="H19" s="1">
        <v>169</v>
      </c>
      <c r="I19" s="4">
        <f t="shared" si="0"/>
        <v>299</v>
      </c>
      <c r="J19" s="18">
        <f t="shared" si="1"/>
        <v>0.16480446927374304</v>
      </c>
      <c r="K19" s="19">
        <v>0.73199999999999998</v>
      </c>
      <c r="L19" s="24">
        <v>29.035958904109588</v>
      </c>
      <c r="M19" s="24">
        <v>10.647244844967323</v>
      </c>
      <c r="N19" s="2">
        <v>0.47</v>
      </c>
      <c r="O19" s="12">
        <f t="shared" si="2"/>
        <v>57648</v>
      </c>
      <c r="P19" s="11">
        <f>O19/I19</f>
        <v>192.80267558528428</v>
      </c>
      <c r="Q19" s="8">
        <f t="shared" si="3"/>
        <v>14271</v>
      </c>
      <c r="R19" s="8">
        <f t="shared" si="4"/>
        <v>457228</v>
      </c>
      <c r="S19" s="9">
        <f t="shared" si="5"/>
        <v>3.1211999265136868E-2</v>
      </c>
      <c r="T19" s="9">
        <f>I19/Q19</f>
        <v>2.0951580127531358E-2</v>
      </c>
      <c r="U19" s="7"/>
      <c r="V19" s="7"/>
      <c r="W19" s="10"/>
      <c r="X19" s="9"/>
      <c r="Y19" s="10"/>
      <c r="Z19" s="7"/>
      <c r="AA19" s="7"/>
      <c r="AB19" s="10"/>
      <c r="AC19" s="7"/>
      <c r="AD19" s="7"/>
      <c r="AE19" s="7"/>
      <c r="AF19" s="7"/>
      <c r="AG19" s="10"/>
      <c r="AH19" s="7"/>
      <c r="AI19" s="7"/>
      <c r="AJ19" s="7">
        <v>6951</v>
      </c>
      <c r="AK19" s="7">
        <v>278379</v>
      </c>
      <c r="AL19" s="10">
        <v>35848</v>
      </c>
      <c r="AM19" s="9">
        <f>AJ19/AK19</f>
        <v>2.4969555893224703E-2</v>
      </c>
      <c r="AN19" s="10">
        <f>AL19/AJ19</f>
        <v>5.1572435620773991</v>
      </c>
      <c r="AO19" s="7">
        <f>3761+3559</f>
        <v>7320</v>
      </c>
      <c r="AP19" s="7">
        <f>90706+88143</f>
        <v>178849</v>
      </c>
      <c r="AQ19" s="10">
        <f>10900*2</f>
        <v>21800</v>
      </c>
      <c r="AR19" s="9">
        <f>AO19/AP19</f>
        <v>4.0928380924690658E-2</v>
      </c>
      <c r="AS19" s="10">
        <f>AQ19/AO19</f>
        <v>2.9781420765027322</v>
      </c>
      <c r="AT19" s="7"/>
      <c r="AU19" s="7"/>
      <c r="AV19" s="7"/>
      <c r="AW19" s="7"/>
      <c r="AX19" s="7"/>
    </row>
    <row r="20" spans="1:50" x14ac:dyDescent="0.2">
      <c r="A20" s="22" t="s">
        <v>48</v>
      </c>
      <c r="B20" s="1" t="s">
        <v>49</v>
      </c>
      <c r="C20" s="1" t="s">
        <v>93</v>
      </c>
      <c r="D20" s="1">
        <v>205</v>
      </c>
      <c r="E20" s="1">
        <v>111</v>
      </c>
      <c r="F20" s="4">
        <f>D20+E20</f>
        <v>316</v>
      </c>
      <c r="G20" s="1">
        <v>187</v>
      </c>
      <c r="H20" s="1">
        <v>108</v>
      </c>
      <c r="I20" s="4">
        <f t="shared" si="0"/>
        <v>295</v>
      </c>
      <c r="J20" s="18">
        <f t="shared" si="1"/>
        <v>6.6455696202531667E-2</v>
      </c>
      <c r="K20" s="19">
        <v>0.753</v>
      </c>
      <c r="L20" s="24">
        <v>29.831034482758621</v>
      </c>
      <c r="M20" s="24">
        <v>11.994335556058651</v>
      </c>
      <c r="N20" s="2">
        <v>0.46700000000000003</v>
      </c>
      <c r="O20" s="12">
        <f t="shared" si="2"/>
        <v>40000</v>
      </c>
      <c r="P20" s="11">
        <f>O20/I20</f>
        <v>135.59322033898306</v>
      </c>
      <c r="Q20" s="8">
        <f t="shared" si="3"/>
        <v>7333</v>
      </c>
      <c r="R20" s="8">
        <f t="shared" si="4"/>
        <v>279210</v>
      </c>
      <c r="S20" s="9">
        <f t="shared" si="5"/>
        <v>2.6263385981877441E-2</v>
      </c>
      <c r="T20" s="9">
        <f>I20/Q20</f>
        <v>4.0229101322787397E-2</v>
      </c>
      <c r="U20" s="7"/>
      <c r="V20" s="7"/>
      <c r="W20" s="10"/>
      <c r="X20" s="9"/>
      <c r="Y20" s="10"/>
      <c r="Z20" s="7"/>
      <c r="AA20" s="7"/>
      <c r="AB20" s="10"/>
      <c r="AC20" s="7"/>
      <c r="AD20" s="7"/>
      <c r="AE20" s="7"/>
      <c r="AF20" s="7"/>
      <c r="AG20" s="10"/>
      <c r="AH20" s="7"/>
      <c r="AI20" s="7"/>
      <c r="AJ20" s="7"/>
      <c r="AK20" s="7"/>
      <c r="AL20" s="10"/>
      <c r="AM20" s="7"/>
      <c r="AN20" s="7"/>
      <c r="AO20" s="7"/>
      <c r="AP20" s="7"/>
      <c r="AQ20" s="10"/>
      <c r="AR20" s="7"/>
      <c r="AS20" s="7"/>
      <c r="AT20" s="7">
        <f>3769+3564</f>
        <v>7333</v>
      </c>
      <c r="AU20" s="7">
        <f>144124+135086</f>
        <v>279210</v>
      </c>
      <c r="AV20" s="7">
        <f>20000*2</f>
        <v>40000</v>
      </c>
      <c r="AW20" s="9">
        <f>AT20/AU20</f>
        <v>2.6263385981877441E-2</v>
      </c>
      <c r="AX20" s="10">
        <f>AV20/AT20</f>
        <v>5.4547933996999864</v>
      </c>
    </row>
    <row r="21" spans="1:50" x14ac:dyDescent="0.2">
      <c r="A21" s="22" t="s">
        <v>50</v>
      </c>
      <c r="B21" s="1" t="s">
        <v>49</v>
      </c>
      <c r="C21" s="1" t="s">
        <v>85</v>
      </c>
      <c r="D21" s="1">
        <v>314</v>
      </c>
      <c r="E21" s="1">
        <v>122</v>
      </c>
      <c r="F21" s="4">
        <f>D21+E21</f>
        <v>436</v>
      </c>
      <c r="G21" s="1">
        <v>289</v>
      </c>
      <c r="H21" s="1">
        <v>116</v>
      </c>
      <c r="I21" s="4">
        <f t="shared" si="0"/>
        <v>405</v>
      </c>
      <c r="J21" s="18">
        <f t="shared" si="1"/>
        <v>7.1100917431192623E-2</v>
      </c>
      <c r="K21" s="19">
        <v>0.59299999999999997</v>
      </c>
      <c r="L21" s="24">
        <v>26.015113350125944</v>
      </c>
      <c r="M21" s="24">
        <v>9.433701315220663</v>
      </c>
      <c r="N21" s="2">
        <v>0.25800000000000001</v>
      </c>
      <c r="O21" s="12">
        <f t="shared" si="2"/>
        <v>16000</v>
      </c>
      <c r="P21" s="11">
        <f>O21/I21</f>
        <v>39.506172839506171</v>
      </c>
      <c r="Q21" s="8">
        <f t="shared" si="3"/>
        <v>13785</v>
      </c>
      <c r="R21" s="8">
        <f t="shared" si="4"/>
        <v>161905</v>
      </c>
      <c r="S21" s="9">
        <f t="shared" si="5"/>
        <v>8.5142521849232572E-2</v>
      </c>
      <c r="T21" s="9">
        <f>I21/Q21</f>
        <v>2.9379760609357999E-2</v>
      </c>
      <c r="U21" s="7"/>
      <c r="V21" s="7"/>
      <c r="W21" s="10"/>
      <c r="X21" s="9"/>
      <c r="Y21" s="10"/>
      <c r="Z21" s="7"/>
      <c r="AA21" s="7"/>
      <c r="AB21" s="10"/>
      <c r="AC21" s="7"/>
      <c r="AD21" s="7"/>
      <c r="AE21" s="7"/>
      <c r="AF21" s="7"/>
      <c r="AG21" s="10"/>
      <c r="AH21" s="7"/>
      <c r="AI21" s="7"/>
      <c r="AJ21" s="7"/>
      <c r="AK21" s="7"/>
      <c r="AL21" s="10"/>
      <c r="AM21" s="7"/>
      <c r="AN21" s="7"/>
      <c r="AO21" s="7"/>
      <c r="AP21" s="7"/>
      <c r="AQ21" s="10"/>
      <c r="AR21" s="7"/>
      <c r="AS21" s="7"/>
      <c r="AT21" s="7">
        <f>7433+6352</f>
        <v>13785</v>
      </c>
      <c r="AU21" s="7">
        <f>161905</f>
        <v>161905</v>
      </c>
      <c r="AV21" s="7">
        <f>8000*2</f>
        <v>16000</v>
      </c>
      <c r="AW21" s="9">
        <f>AT21/AU21</f>
        <v>8.5142521849232572E-2</v>
      </c>
      <c r="AX21" s="10">
        <f>AV21/AT21</f>
        <v>1.1606819006166122</v>
      </c>
    </row>
    <row r="22" spans="1:50" x14ac:dyDescent="0.2">
      <c r="A22" s="22" t="s">
        <v>21</v>
      </c>
      <c r="B22" s="1" t="s">
        <v>43</v>
      </c>
      <c r="C22" s="1" t="s">
        <v>94</v>
      </c>
      <c r="D22" s="1">
        <v>205</v>
      </c>
      <c r="E22" s="1">
        <v>134</v>
      </c>
      <c r="F22" s="4">
        <f>D22+E22</f>
        <v>339</v>
      </c>
      <c r="G22" s="1">
        <v>184</v>
      </c>
      <c r="H22" s="1">
        <v>121</v>
      </c>
      <c r="I22" s="4">
        <f t="shared" si="0"/>
        <v>305</v>
      </c>
      <c r="J22" s="18">
        <f t="shared" si="1"/>
        <v>0.10029498525073743</v>
      </c>
      <c r="K22" s="19">
        <v>0.91100000000000003</v>
      </c>
      <c r="L22" s="24">
        <v>24.322259136212626</v>
      </c>
      <c r="M22" s="24">
        <v>8.6049870934993997</v>
      </c>
      <c r="N22" s="2">
        <v>0.55000000000000004</v>
      </c>
      <c r="O22" s="12">
        <f t="shared" si="2"/>
        <v>25793</v>
      </c>
      <c r="P22" s="11">
        <f>O22/I22</f>
        <v>84.567213114754097</v>
      </c>
      <c r="Q22" s="8">
        <f t="shared" si="3"/>
        <v>3231</v>
      </c>
      <c r="R22" s="8">
        <f t="shared" si="4"/>
        <v>151898</v>
      </c>
      <c r="S22" s="9">
        <f t="shared" si="5"/>
        <v>2.1270852809121912E-2</v>
      </c>
      <c r="T22" s="9">
        <f>I22/Q22</f>
        <v>9.4398019189105536E-2</v>
      </c>
      <c r="U22" s="7"/>
      <c r="V22" s="7"/>
      <c r="W22" s="10"/>
      <c r="X22" s="9"/>
      <c r="Y22" s="10"/>
      <c r="Z22" s="7"/>
      <c r="AA22" s="7"/>
      <c r="AB22" s="10"/>
      <c r="AC22" s="7"/>
      <c r="AD22" s="7"/>
      <c r="AE22" s="7"/>
      <c r="AF22" s="7"/>
      <c r="AG22" s="10"/>
      <c r="AH22" s="7"/>
      <c r="AI22" s="7"/>
      <c r="AJ22" s="7">
        <v>3231</v>
      </c>
      <c r="AK22" s="7">
        <v>151898</v>
      </c>
      <c r="AL22" s="10">
        <v>25793</v>
      </c>
      <c r="AM22" s="9">
        <f>AJ22/AK22</f>
        <v>2.1270852809121912E-2</v>
      </c>
      <c r="AN22" s="10">
        <f>AL22/AJ22</f>
        <v>7.9829774063757348</v>
      </c>
      <c r="AO22" s="7"/>
      <c r="AP22" s="7"/>
      <c r="AQ22" s="10"/>
      <c r="AR22" s="7"/>
      <c r="AS22" s="7"/>
      <c r="AT22" s="7"/>
      <c r="AU22" s="7"/>
      <c r="AV22" s="7"/>
      <c r="AW22" s="7"/>
      <c r="AX22" s="7"/>
    </row>
    <row r="23" spans="1:50" x14ac:dyDescent="0.2">
      <c r="A23" s="22" t="s">
        <v>22</v>
      </c>
      <c r="B23" s="1" t="s">
        <v>51</v>
      </c>
      <c r="C23" s="1" t="s">
        <v>95</v>
      </c>
      <c r="D23" s="1">
        <v>212</v>
      </c>
      <c r="E23" s="1">
        <v>412</v>
      </c>
      <c r="F23" s="4">
        <f>D23+E23</f>
        <v>624</v>
      </c>
      <c r="G23" s="1">
        <v>188</v>
      </c>
      <c r="H23" s="1">
        <v>368</v>
      </c>
      <c r="I23" s="4">
        <f t="shared" si="0"/>
        <v>556</v>
      </c>
      <c r="J23" s="18">
        <f t="shared" si="1"/>
        <v>0.10897435897435892</v>
      </c>
      <c r="K23" s="19">
        <v>0.86099999999999999</v>
      </c>
      <c r="L23" s="24">
        <v>29.315693430656935</v>
      </c>
      <c r="M23" s="24">
        <v>11.154424199651467</v>
      </c>
      <c r="N23" s="2">
        <v>0.38</v>
      </c>
      <c r="O23" s="12">
        <f t="shared" si="2"/>
        <v>10422</v>
      </c>
      <c r="P23" s="11">
        <f>O23/I23</f>
        <v>18.744604316546763</v>
      </c>
      <c r="Q23" s="8">
        <f t="shared" si="3"/>
        <v>4026</v>
      </c>
      <c r="R23" s="8">
        <f t="shared" si="4"/>
        <v>121866</v>
      </c>
      <c r="S23" s="9">
        <f t="shared" si="5"/>
        <v>3.3036285756486636E-2</v>
      </c>
      <c r="T23" s="9">
        <f>I23/Q23</f>
        <v>0.13810233482364631</v>
      </c>
      <c r="U23" s="7"/>
      <c r="V23" s="7"/>
      <c r="W23" s="10"/>
      <c r="X23" s="9"/>
      <c r="Y23" s="10"/>
      <c r="Z23" s="7"/>
      <c r="AA23" s="7"/>
      <c r="AB23" s="10"/>
      <c r="AC23" s="7"/>
      <c r="AD23" s="7"/>
      <c r="AE23" s="7"/>
      <c r="AF23" s="7"/>
      <c r="AG23" s="10"/>
      <c r="AH23" s="7"/>
      <c r="AI23" s="7"/>
      <c r="AJ23" s="7">
        <v>1767</v>
      </c>
      <c r="AK23" s="7">
        <v>53641</v>
      </c>
      <c r="AL23" s="10">
        <v>5654</v>
      </c>
      <c r="AM23" s="9">
        <f>AJ23/AK23</f>
        <v>3.2941220335191368E-2</v>
      </c>
      <c r="AN23" s="10">
        <f>AL23/AJ23</f>
        <v>3.1997736276174309</v>
      </c>
      <c r="AO23" s="7">
        <f>849+1410</f>
        <v>2259</v>
      </c>
      <c r="AP23" s="7">
        <f>34055+34170</f>
        <v>68225</v>
      </c>
      <c r="AQ23" s="10">
        <f>2384*2</f>
        <v>4768</v>
      </c>
      <c r="AR23" s="9">
        <f>AO23/AP23</f>
        <v>3.3111029681201908E-2</v>
      </c>
      <c r="AS23" s="10">
        <f>AQ23/AO23</f>
        <v>2.1106684373616647</v>
      </c>
      <c r="AT23" s="7"/>
      <c r="AU23" s="7"/>
      <c r="AV23" s="7"/>
      <c r="AW23" s="7"/>
      <c r="AX23" s="7"/>
    </row>
    <row r="24" spans="1:50" x14ac:dyDescent="0.2">
      <c r="A24" s="22" t="s">
        <v>23</v>
      </c>
      <c r="B24" s="1" t="s">
        <v>49</v>
      </c>
      <c r="C24" s="1" t="s">
        <v>96</v>
      </c>
      <c r="D24" s="1">
        <v>332</v>
      </c>
      <c r="E24" s="1">
        <v>378</v>
      </c>
      <c r="F24" s="4">
        <f>D24+E24</f>
        <v>710</v>
      </c>
      <c r="G24" s="1">
        <v>322</v>
      </c>
      <c r="H24" s="1">
        <v>360</v>
      </c>
      <c r="I24" s="4">
        <f t="shared" si="0"/>
        <v>682</v>
      </c>
      <c r="J24" s="18">
        <f t="shared" si="1"/>
        <v>3.9436619718309807E-2</v>
      </c>
      <c r="K24" s="19">
        <v>0.88900000000000001</v>
      </c>
      <c r="L24" s="25">
        <v>27.30825958702065</v>
      </c>
      <c r="M24" s="25">
        <v>11.952427473965393</v>
      </c>
      <c r="N24" s="21">
        <v>0.46</v>
      </c>
      <c r="O24" s="12">
        <f t="shared" si="2"/>
        <v>33212</v>
      </c>
      <c r="P24" s="11">
        <f>O24/I24</f>
        <v>48.697947214076244</v>
      </c>
      <c r="Q24" s="8">
        <f t="shared" si="3"/>
        <v>8456</v>
      </c>
      <c r="R24" s="8">
        <f t="shared" si="4"/>
        <v>349416</v>
      </c>
      <c r="S24" s="9">
        <f t="shared" si="5"/>
        <v>2.4200380062733246E-2</v>
      </c>
      <c r="T24" s="9">
        <f>I24/Q24</f>
        <v>8.0652790917691577E-2</v>
      </c>
      <c r="U24" s="7"/>
      <c r="V24" s="7"/>
      <c r="W24" s="10"/>
      <c r="X24" s="9"/>
      <c r="Y24" s="10"/>
      <c r="Z24" s="7"/>
      <c r="AA24" s="7"/>
      <c r="AB24" s="10"/>
      <c r="AC24" s="7"/>
      <c r="AD24" s="7"/>
      <c r="AE24" s="7"/>
      <c r="AF24" s="7"/>
      <c r="AG24" s="10"/>
      <c r="AH24" s="7"/>
      <c r="AI24" s="7"/>
      <c r="AJ24" s="7">
        <v>1273</v>
      </c>
      <c r="AK24" s="7">
        <v>66932</v>
      </c>
      <c r="AL24" s="10">
        <v>7500</v>
      </c>
      <c r="AM24" s="9">
        <f>AJ24/AK24</f>
        <v>1.9019303173369986E-2</v>
      </c>
      <c r="AN24" s="10">
        <f>AL24/AJ24</f>
        <v>5.8915946582875094</v>
      </c>
      <c r="AO24" s="7"/>
      <c r="AP24" s="7"/>
      <c r="AQ24" s="10"/>
      <c r="AR24" s="7"/>
      <c r="AS24" s="7"/>
      <c r="AT24" s="7">
        <f>3749+3434</f>
        <v>7183</v>
      </c>
      <c r="AU24" s="7">
        <f>160210+122274</f>
        <v>282484</v>
      </c>
      <c r="AV24" s="10">
        <f>14857+10855</f>
        <v>25712</v>
      </c>
      <c r="AW24" s="9">
        <f>AT24/AU24</f>
        <v>2.5427988841845911E-2</v>
      </c>
      <c r="AX24" s="10">
        <f>AV24/AT24</f>
        <v>3.5795628567450928</v>
      </c>
    </row>
    <row r="25" spans="1:50" x14ac:dyDescent="0.2">
      <c r="A25" s="22" t="s">
        <v>35</v>
      </c>
      <c r="B25" s="1" t="s">
        <v>51</v>
      </c>
      <c r="C25" s="1" t="s">
        <v>93</v>
      </c>
      <c r="D25" s="1">
        <v>298</v>
      </c>
      <c r="E25" s="1">
        <v>85</v>
      </c>
      <c r="F25" s="4">
        <f>D25+E25</f>
        <v>383</v>
      </c>
      <c r="G25" s="1">
        <v>267</v>
      </c>
      <c r="H25" s="1">
        <v>72</v>
      </c>
      <c r="I25" s="4">
        <f t="shared" si="0"/>
        <v>339</v>
      </c>
      <c r="J25" s="18">
        <f t="shared" si="1"/>
        <v>0.11488250652741516</v>
      </c>
      <c r="K25" s="19">
        <v>0.77300000000000002</v>
      </c>
      <c r="L25" s="24">
        <v>22.206060606060607</v>
      </c>
      <c r="M25" s="24">
        <v>5.6088260556697165</v>
      </c>
      <c r="N25" s="2">
        <v>0.22</v>
      </c>
      <c r="O25" s="12">
        <f t="shared" si="2"/>
        <v>23054</v>
      </c>
      <c r="P25" s="11">
        <f>O25/I25</f>
        <v>68.005899705014755</v>
      </c>
      <c r="Q25" s="8">
        <f t="shared" si="3"/>
        <v>10617</v>
      </c>
      <c r="R25" s="8">
        <f t="shared" si="4"/>
        <v>295935</v>
      </c>
      <c r="S25" s="9">
        <f t="shared" si="5"/>
        <v>3.5876121445587716E-2</v>
      </c>
      <c r="T25" s="9">
        <f>I25/Q25</f>
        <v>3.1929923707261935E-2</v>
      </c>
      <c r="U25" s="7"/>
      <c r="V25" s="7"/>
      <c r="W25" s="10"/>
      <c r="X25" s="9"/>
      <c r="Y25" s="10"/>
      <c r="Z25" s="7"/>
      <c r="AA25" s="7"/>
      <c r="AB25" s="10"/>
      <c r="AC25" s="7"/>
      <c r="AD25" s="7"/>
      <c r="AE25" s="7"/>
      <c r="AF25" s="7"/>
      <c r="AG25" s="10"/>
      <c r="AH25" s="7"/>
      <c r="AI25" s="7"/>
      <c r="AJ25" s="7">
        <v>1649</v>
      </c>
      <c r="AK25" s="7">
        <v>83747</v>
      </c>
      <c r="AL25" s="10">
        <v>4500</v>
      </c>
      <c r="AM25" s="9">
        <f>AJ25/AK25</f>
        <v>1.9690257561464888E-2</v>
      </c>
      <c r="AN25" s="10">
        <f>AL25/AJ25</f>
        <v>2.7289266221952699</v>
      </c>
      <c r="AO25" s="7">
        <f>4873+4095</f>
        <v>8968</v>
      </c>
      <c r="AP25" s="7">
        <f>102977+109211</f>
        <v>212188</v>
      </c>
      <c r="AQ25" s="10">
        <f>9277*2</f>
        <v>18554</v>
      </c>
      <c r="AR25" s="9">
        <f>AO25/AP25</f>
        <v>4.226440703527061E-2</v>
      </c>
      <c r="AS25" s="10">
        <f>AQ25/AO25</f>
        <v>2.0689116859946477</v>
      </c>
      <c r="AT25" s="7"/>
      <c r="AU25" s="7"/>
      <c r="AV25" s="7"/>
      <c r="AW25" s="7"/>
      <c r="AX25" s="7"/>
    </row>
    <row r="26" spans="1:50" x14ac:dyDescent="0.2">
      <c r="A26" s="22" t="s">
        <v>24</v>
      </c>
      <c r="B26" s="1" t="s">
        <v>52</v>
      </c>
      <c r="C26" s="1" t="s">
        <v>97</v>
      </c>
      <c r="D26" s="1">
        <v>228</v>
      </c>
      <c r="E26" s="1">
        <v>239</v>
      </c>
      <c r="F26" s="4">
        <f>D26+E26</f>
        <v>467</v>
      </c>
      <c r="G26" s="1">
        <v>222</v>
      </c>
      <c r="H26" s="1">
        <v>229</v>
      </c>
      <c r="I26" s="4">
        <f t="shared" si="0"/>
        <v>451</v>
      </c>
      <c r="J26" s="18">
        <f t="shared" si="1"/>
        <v>3.426124197002145E-2</v>
      </c>
      <c r="K26" s="19">
        <v>0.97299999999999998</v>
      </c>
      <c r="L26" s="24">
        <v>23.351893095768375</v>
      </c>
      <c r="M26" s="24">
        <v>10.239803387620166</v>
      </c>
      <c r="N26" s="2">
        <v>0.54</v>
      </c>
      <c r="O26" s="12">
        <f t="shared" si="2"/>
        <v>50600</v>
      </c>
      <c r="P26" s="11">
        <f>O26/I26</f>
        <v>112.19512195121951</v>
      </c>
      <c r="Q26" s="8">
        <f t="shared" si="3"/>
        <v>3718</v>
      </c>
      <c r="R26" s="8">
        <f t="shared" si="4"/>
        <v>112758</v>
      </c>
      <c r="S26" s="9">
        <f t="shared" si="5"/>
        <v>3.2973270189254868E-2</v>
      </c>
      <c r="T26" s="9">
        <f>I26/Q26</f>
        <v>0.12130177514792899</v>
      </c>
      <c r="U26" s="7"/>
      <c r="V26" s="7"/>
      <c r="W26" s="10"/>
      <c r="X26" s="9"/>
      <c r="Y26" s="10"/>
      <c r="Z26" s="7"/>
      <c r="AA26" s="7"/>
      <c r="AB26" s="10"/>
      <c r="AC26" s="7"/>
      <c r="AD26" s="7"/>
      <c r="AE26" s="7"/>
      <c r="AF26" s="7"/>
      <c r="AG26" s="10"/>
      <c r="AH26" s="7"/>
      <c r="AI26" s="7"/>
      <c r="AJ26" s="7">
        <v>1454</v>
      </c>
      <c r="AK26" s="7">
        <v>42973</v>
      </c>
      <c r="AL26" s="10">
        <v>20700</v>
      </c>
      <c r="AM26" s="9">
        <f>AJ26/AK26</f>
        <v>3.3835198845786889E-2</v>
      </c>
      <c r="AN26" s="10">
        <f>AL26/AJ26</f>
        <v>14.236588720770289</v>
      </c>
      <c r="AO26" s="7">
        <v>2264</v>
      </c>
      <c r="AP26" s="7">
        <v>69785</v>
      </c>
      <c r="AQ26" s="10">
        <v>29900</v>
      </c>
      <c r="AR26" s="9">
        <f>AO26/AP26</f>
        <v>3.2442501970337462E-2</v>
      </c>
      <c r="AS26" s="10">
        <f>AQ26/AO26</f>
        <v>13.206713780918728</v>
      </c>
      <c r="AT26" s="7"/>
      <c r="AU26" s="7"/>
      <c r="AV26" s="7"/>
      <c r="AW26" s="7"/>
      <c r="AX26" s="7"/>
    </row>
    <row r="27" spans="1:50" x14ac:dyDescent="0.2">
      <c r="A27" s="22" t="s">
        <v>3</v>
      </c>
      <c r="B27" s="1" t="s">
        <v>39</v>
      </c>
      <c r="C27" s="1" t="s">
        <v>98</v>
      </c>
      <c r="D27" s="1">
        <v>267</v>
      </c>
      <c r="E27" s="1">
        <v>234</v>
      </c>
      <c r="F27" s="4">
        <f>D27+E27</f>
        <v>501</v>
      </c>
      <c r="G27" s="1">
        <v>255</v>
      </c>
      <c r="H27" s="1">
        <v>212</v>
      </c>
      <c r="I27" s="4">
        <f t="shared" si="0"/>
        <v>467</v>
      </c>
      <c r="J27" s="18">
        <f t="shared" si="1"/>
        <v>6.7864271457085845E-2</v>
      </c>
      <c r="K27" s="19">
        <v>0.92100000000000004</v>
      </c>
      <c r="L27" s="24">
        <v>27.822510822510822</v>
      </c>
      <c r="M27" s="24">
        <v>14.422013022657277</v>
      </c>
      <c r="N27" s="2">
        <v>0.59</v>
      </c>
      <c r="O27" s="12">
        <f t="shared" si="2"/>
        <v>38998</v>
      </c>
      <c r="P27" s="11">
        <f>O27/I27</f>
        <v>83.507494646680939</v>
      </c>
      <c r="Q27" s="8">
        <f t="shared" si="3"/>
        <v>1328</v>
      </c>
      <c r="R27" s="8">
        <f t="shared" si="4"/>
        <v>61404</v>
      </c>
      <c r="S27" s="9">
        <f t="shared" si="5"/>
        <v>2.1627255553384146E-2</v>
      </c>
      <c r="T27" s="9">
        <f>I27/Q27</f>
        <v>0.35165662650602408</v>
      </c>
      <c r="U27" s="7"/>
      <c r="V27" s="7"/>
      <c r="W27" s="10"/>
      <c r="X27" s="9"/>
      <c r="Y27" s="10"/>
      <c r="Z27" s="7"/>
      <c r="AA27" s="7"/>
      <c r="AB27" s="10"/>
      <c r="AC27" s="7"/>
      <c r="AD27" s="7"/>
      <c r="AE27" s="7">
        <f>631+697</f>
        <v>1328</v>
      </c>
      <c r="AF27" s="7">
        <f>32189+29215</f>
        <v>61404</v>
      </c>
      <c r="AG27" s="10">
        <f>19500+19498</f>
        <v>38998</v>
      </c>
      <c r="AH27" s="9">
        <f>AE27/AF27</f>
        <v>2.1627255553384146E-2</v>
      </c>
      <c r="AI27" s="10">
        <f>AG27/AE27</f>
        <v>29.365963855421686</v>
      </c>
      <c r="AJ27" s="7"/>
      <c r="AK27" s="7"/>
      <c r="AL27" s="10"/>
      <c r="AM27" s="7"/>
      <c r="AN27" s="7"/>
      <c r="AO27" s="7"/>
      <c r="AP27" s="7"/>
      <c r="AQ27" s="10"/>
      <c r="AR27" s="7"/>
      <c r="AS27" s="7"/>
      <c r="AT27" s="7"/>
      <c r="AU27" s="7"/>
      <c r="AV27" s="7"/>
      <c r="AW27" s="7"/>
      <c r="AX27" s="7"/>
    </row>
    <row r="28" spans="1:50" x14ac:dyDescent="0.2">
      <c r="A28" s="22" t="s">
        <v>4</v>
      </c>
      <c r="B28" s="1" t="s">
        <v>110</v>
      </c>
      <c r="C28" s="1" t="s">
        <v>98</v>
      </c>
      <c r="D28" s="1">
        <v>102</v>
      </c>
      <c r="E28" s="1">
        <v>300</v>
      </c>
      <c r="F28" s="4">
        <f>D28+E28</f>
        <v>402</v>
      </c>
      <c r="G28" s="1">
        <v>81</v>
      </c>
      <c r="H28" s="1">
        <v>226</v>
      </c>
      <c r="I28" s="4">
        <f t="shared" si="0"/>
        <v>307</v>
      </c>
      <c r="J28" s="18">
        <f t="shared" si="1"/>
        <v>0.23631840796019898</v>
      </c>
      <c r="K28" s="19">
        <v>0.95399999999999996</v>
      </c>
      <c r="L28" s="24">
        <v>28.886666666666667</v>
      </c>
      <c r="M28" s="24">
        <v>11.35356774575347</v>
      </c>
      <c r="N28" s="2">
        <v>0.38</v>
      </c>
      <c r="O28" s="12">
        <f t="shared" si="2"/>
        <v>7500</v>
      </c>
      <c r="P28" s="11">
        <f>O28/I28</f>
        <v>24.429967426710096</v>
      </c>
      <c r="Q28" s="8">
        <f t="shared" si="3"/>
        <v>2469</v>
      </c>
      <c r="R28" s="8">
        <f t="shared" si="4"/>
        <v>184491</v>
      </c>
      <c r="S28" s="9">
        <f t="shared" si="5"/>
        <v>1.3382766639023042E-2</v>
      </c>
      <c r="T28" s="9">
        <f>I28/Q28</f>
        <v>0.12434183880113406</v>
      </c>
      <c r="U28" s="7"/>
      <c r="V28" s="7"/>
      <c r="W28" s="10"/>
      <c r="X28" s="9"/>
      <c r="Y28" s="10"/>
      <c r="Z28" s="7"/>
      <c r="AA28" s="7"/>
      <c r="AB28" s="10"/>
      <c r="AC28" s="7"/>
      <c r="AD28" s="7"/>
      <c r="AE28" s="7">
        <f>939+1530</f>
        <v>2469</v>
      </c>
      <c r="AF28" s="7">
        <f>121813+62678</f>
        <v>184491</v>
      </c>
      <c r="AG28" s="10">
        <f>3750*2</f>
        <v>7500</v>
      </c>
      <c r="AH28" s="9">
        <f>AE28/AF28</f>
        <v>1.3382766639023042E-2</v>
      </c>
      <c r="AI28" s="10">
        <f>AG28/AE28</f>
        <v>3.0376670716889427</v>
      </c>
      <c r="AJ28" s="7"/>
      <c r="AK28" s="7"/>
      <c r="AL28" s="10"/>
      <c r="AM28" s="7"/>
      <c r="AN28" s="7"/>
      <c r="AO28" s="7"/>
      <c r="AP28" s="7"/>
      <c r="AQ28" s="10"/>
      <c r="AR28" s="7"/>
      <c r="AS28" s="7"/>
      <c r="AT28" s="7"/>
      <c r="AU28" s="7"/>
      <c r="AV28" s="7"/>
      <c r="AW28" s="7"/>
      <c r="AX28" s="7"/>
    </row>
    <row r="29" spans="1:50" x14ac:dyDescent="0.2">
      <c r="A29" s="22" t="s">
        <v>25</v>
      </c>
      <c r="B29" s="1" t="s">
        <v>52</v>
      </c>
      <c r="C29" s="1" t="s">
        <v>99</v>
      </c>
      <c r="D29" s="1">
        <v>376</v>
      </c>
      <c r="E29" s="1">
        <v>100</v>
      </c>
      <c r="F29" s="4">
        <f>D29+E29</f>
        <v>476</v>
      </c>
      <c r="G29" s="1">
        <v>355</v>
      </c>
      <c r="H29" s="1">
        <v>95</v>
      </c>
      <c r="I29" s="4">
        <f t="shared" si="0"/>
        <v>450</v>
      </c>
      <c r="J29" s="18">
        <f t="shared" si="1"/>
        <v>5.4621848739495826E-2</v>
      </c>
      <c r="K29" s="19">
        <v>0.97099999999999997</v>
      </c>
      <c r="L29" s="24">
        <v>21.174496644295303</v>
      </c>
      <c r="M29" s="24">
        <v>6.4143877760881489</v>
      </c>
      <c r="N29" s="2">
        <v>0.32</v>
      </c>
      <c r="O29" s="12">
        <f t="shared" si="2"/>
        <v>17312</v>
      </c>
      <c r="P29" s="11">
        <f>O29/I29</f>
        <v>38.471111111111114</v>
      </c>
      <c r="Q29" s="8">
        <f t="shared" si="3"/>
        <v>1840</v>
      </c>
      <c r="R29" s="8">
        <f t="shared" si="4"/>
        <v>120650</v>
      </c>
      <c r="S29" s="9">
        <f t="shared" si="5"/>
        <v>1.5250725238292582E-2</v>
      </c>
      <c r="T29" s="9">
        <f>I29/Q29</f>
        <v>0.24456521739130435</v>
      </c>
      <c r="U29" s="7"/>
      <c r="V29" s="7"/>
      <c r="W29" s="10"/>
      <c r="X29" s="9"/>
      <c r="Y29" s="10"/>
      <c r="Z29" s="7"/>
      <c r="AA29" s="7"/>
      <c r="AB29" s="10"/>
      <c r="AC29" s="7"/>
      <c r="AD29" s="7"/>
      <c r="AE29" s="7"/>
      <c r="AF29" s="7"/>
      <c r="AG29" s="10"/>
      <c r="AH29" s="7"/>
      <c r="AI29" s="7"/>
      <c r="AJ29" s="7">
        <v>986</v>
      </c>
      <c r="AK29" s="7">
        <v>78363</v>
      </c>
      <c r="AL29" s="10">
        <v>10488</v>
      </c>
      <c r="AM29" s="9">
        <f>AJ29/AK29</f>
        <v>1.2582468767147761E-2</v>
      </c>
      <c r="AN29" s="10">
        <f>AL29/AJ29</f>
        <v>10.636916835699797</v>
      </c>
      <c r="AO29" s="7">
        <v>854</v>
      </c>
      <c r="AP29" s="7">
        <v>42287</v>
      </c>
      <c r="AQ29" s="10">
        <v>6824</v>
      </c>
      <c r="AR29" s="9">
        <f>AO29/AP29</f>
        <v>2.019533189869227E-2</v>
      </c>
      <c r="AS29" s="10">
        <f>AQ29/AO29</f>
        <v>7.9906323185011709</v>
      </c>
      <c r="AT29" s="7"/>
      <c r="AU29" s="7"/>
      <c r="AV29" s="7"/>
      <c r="AW29" s="7"/>
      <c r="AX29" s="7"/>
    </row>
    <row r="30" spans="1:50" x14ac:dyDescent="0.2">
      <c r="A30" s="22" t="s">
        <v>26</v>
      </c>
      <c r="B30" s="1" t="s">
        <v>47</v>
      </c>
      <c r="C30" s="1" t="s">
        <v>100</v>
      </c>
      <c r="D30" s="1">
        <v>184</v>
      </c>
      <c r="E30" s="1">
        <v>183</v>
      </c>
      <c r="F30" s="4">
        <f>D30+E30</f>
        <v>367</v>
      </c>
      <c r="G30" s="1">
        <v>168</v>
      </c>
      <c r="H30" s="1">
        <v>157</v>
      </c>
      <c r="I30" s="4">
        <f t="shared" si="0"/>
        <v>325</v>
      </c>
      <c r="J30" s="18">
        <f t="shared" si="1"/>
        <v>0.11444141689373299</v>
      </c>
      <c r="K30" s="19">
        <v>0.95099999999999996</v>
      </c>
      <c r="L30" s="24">
        <v>25.596273291925467</v>
      </c>
      <c r="M30" s="24">
        <v>11.927548093127264</v>
      </c>
      <c r="N30" s="2">
        <v>0.49</v>
      </c>
      <c r="O30" s="12">
        <f t="shared" si="2"/>
        <v>4983</v>
      </c>
      <c r="P30" s="11">
        <f>O30/I30</f>
        <v>15.332307692307692</v>
      </c>
      <c r="Q30" s="8">
        <f t="shared" si="3"/>
        <v>957</v>
      </c>
      <c r="R30" s="8">
        <f t="shared" si="4"/>
        <v>42179</v>
      </c>
      <c r="S30" s="9">
        <f t="shared" si="5"/>
        <v>2.2689015860973469E-2</v>
      </c>
      <c r="T30" s="9">
        <f>I30/Q30</f>
        <v>0.33960292580982238</v>
      </c>
      <c r="U30" s="7"/>
      <c r="V30" s="7"/>
      <c r="W30" s="10"/>
      <c r="X30" s="9"/>
      <c r="Y30" s="10"/>
      <c r="Z30" s="7"/>
      <c r="AA30" s="7"/>
      <c r="AB30" s="10"/>
      <c r="AC30" s="7"/>
      <c r="AD30" s="7"/>
      <c r="AE30" s="7"/>
      <c r="AF30" s="7"/>
      <c r="AG30" s="10"/>
      <c r="AH30" s="7"/>
      <c r="AI30" s="7"/>
      <c r="AJ30" s="7">
        <v>957</v>
      </c>
      <c r="AK30" s="7">
        <v>42179</v>
      </c>
      <c r="AL30" s="10">
        <v>4983</v>
      </c>
      <c r="AM30" s="9">
        <f>AJ30/AK30</f>
        <v>2.2689015860973469E-2</v>
      </c>
      <c r="AN30" s="10">
        <f>AL30/AJ30</f>
        <v>5.2068965517241379</v>
      </c>
      <c r="AO30" s="7"/>
      <c r="AP30" s="7"/>
      <c r="AQ30" s="10"/>
      <c r="AR30" s="7"/>
      <c r="AS30" s="7"/>
      <c r="AT30" s="7"/>
      <c r="AU30" s="7"/>
      <c r="AV30" s="7"/>
      <c r="AW30" s="7"/>
      <c r="AX30" s="7"/>
    </row>
    <row r="31" spans="1:50" x14ac:dyDescent="0.2">
      <c r="A31" s="22" t="s">
        <v>5</v>
      </c>
      <c r="B31" s="1" t="s">
        <v>52</v>
      </c>
      <c r="C31" s="1" t="s">
        <v>81</v>
      </c>
      <c r="D31" s="1">
        <v>241</v>
      </c>
      <c r="E31" s="1">
        <v>110</v>
      </c>
      <c r="F31" s="4">
        <f>D31+E31</f>
        <v>351</v>
      </c>
      <c r="G31" s="1">
        <v>223</v>
      </c>
      <c r="H31" s="1">
        <v>96</v>
      </c>
      <c r="I31" s="4">
        <f t="shared" si="0"/>
        <v>319</v>
      </c>
      <c r="J31" s="18">
        <f t="shared" si="1"/>
        <v>9.1168091168091214E-2</v>
      </c>
      <c r="K31" s="19">
        <v>0.871</v>
      </c>
      <c r="L31" s="24">
        <v>29.952681388012618</v>
      </c>
      <c r="M31" s="24">
        <v>14.071055017531306</v>
      </c>
      <c r="N31" s="2">
        <v>0.67</v>
      </c>
      <c r="O31" s="12">
        <f t="shared" si="2"/>
        <v>91156</v>
      </c>
      <c r="P31" s="11">
        <f>O31/I31</f>
        <v>285.7554858934169</v>
      </c>
      <c r="Q31" s="8">
        <f t="shared" si="3"/>
        <v>2750</v>
      </c>
      <c r="R31" s="8">
        <f t="shared" si="4"/>
        <v>169899</v>
      </c>
      <c r="S31" s="9">
        <f t="shared" si="5"/>
        <v>1.6186087028175564E-2</v>
      </c>
      <c r="T31" s="9">
        <f>I31/Q31</f>
        <v>0.11600000000000001</v>
      </c>
      <c r="U31" s="7"/>
      <c r="V31" s="7"/>
      <c r="W31" s="10"/>
      <c r="X31" s="9"/>
      <c r="Y31" s="10"/>
      <c r="Z31" s="7"/>
      <c r="AA31" s="7"/>
      <c r="AB31" s="10"/>
      <c r="AC31" s="7"/>
      <c r="AD31" s="7"/>
      <c r="AE31" s="7">
        <f>479+386</f>
        <v>865</v>
      </c>
      <c r="AF31" s="7">
        <f>30950+22780</f>
        <v>53730</v>
      </c>
      <c r="AG31" s="10">
        <f>15000+15000</f>
        <v>30000</v>
      </c>
      <c r="AH31" s="9">
        <f>AE31/AF31</f>
        <v>1.6099013586450772E-2</v>
      </c>
      <c r="AI31" s="10">
        <f>AG31/AE31</f>
        <v>34.682080924855491</v>
      </c>
      <c r="AJ31" s="7"/>
      <c r="AK31" s="7"/>
      <c r="AL31" s="10"/>
      <c r="AM31" s="7"/>
      <c r="AN31" s="7"/>
      <c r="AO31" s="7">
        <f>979+906</f>
        <v>1885</v>
      </c>
      <c r="AP31" s="7">
        <f>59446+56723</f>
        <v>116169</v>
      </c>
      <c r="AQ31" s="10">
        <f>30578*2</f>
        <v>61156</v>
      </c>
      <c r="AR31" s="9">
        <f>AO31/AP31</f>
        <v>1.6226359872255076E-2</v>
      </c>
      <c r="AS31" s="10">
        <f>AQ31/AO31</f>
        <v>32.443501326259948</v>
      </c>
      <c r="AT31" s="7"/>
      <c r="AU31" s="7"/>
      <c r="AV31" s="7"/>
      <c r="AW31" s="7"/>
      <c r="AX31" s="7"/>
    </row>
    <row r="32" spans="1:50" x14ac:dyDescent="0.2">
      <c r="A32" s="22" t="s">
        <v>27</v>
      </c>
      <c r="B32" s="1" t="s">
        <v>49</v>
      </c>
      <c r="C32" s="1" t="s">
        <v>101</v>
      </c>
      <c r="D32" s="1">
        <v>191</v>
      </c>
      <c r="E32" s="1">
        <v>376</v>
      </c>
      <c r="F32" s="4">
        <f>D32+E32</f>
        <v>567</v>
      </c>
      <c r="G32" s="1">
        <v>183</v>
      </c>
      <c r="H32" s="1">
        <v>361</v>
      </c>
      <c r="I32" s="4">
        <f t="shared" si="0"/>
        <v>544</v>
      </c>
      <c r="J32" s="18">
        <f t="shared" si="1"/>
        <v>4.0564373897707284E-2</v>
      </c>
      <c r="K32" s="19">
        <v>0.91900000000000004</v>
      </c>
      <c r="L32" s="24">
        <v>38.09040590405904</v>
      </c>
      <c r="M32" s="24">
        <v>14.865917681816782</v>
      </c>
      <c r="N32" s="2">
        <v>0.43</v>
      </c>
      <c r="O32" s="12">
        <f t="shared" si="2"/>
        <v>83045</v>
      </c>
      <c r="P32" s="11">
        <f>O32/I32</f>
        <v>152.65625</v>
      </c>
      <c r="Q32" s="8">
        <f t="shared" si="3"/>
        <v>7553</v>
      </c>
      <c r="R32" s="8">
        <f t="shared" si="4"/>
        <v>274690</v>
      </c>
      <c r="S32" s="9">
        <f>Q32/R32</f>
        <v>2.7496450544249883E-2</v>
      </c>
      <c r="T32" s="9">
        <f>I32/Q32</f>
        <v>7.2024361180987692E-2</v>
      </c>
      <c r="U32" s="7"/>
      <c r="V32" s="7"/>
      <c r="W32" s="10"/>
      <c r="X32" s="9"/>
      <c r="Y32" s="10"/>
      <c r="Z32" s="7"/>
      <c r="AA32" s="7"/>
      <c r="AB32" s="10"/>
      <c r="AC32" s="7"/>
      <c r="AD32" s="7"/>
      <c r="AE32" s="7"/>
      <c r="AF32" s="7"/>
      <c r="AG32" s="10"/>
      <c r="AH32" s="7"/>
      <c r="AI32" s="7"/>
      <c r="AJ32" s="7">
        <v>1538</v>
      </c>
      <c r="AK32" s="7">
        <v>57747</v>
      </c>
      <c r="AL32" s="10">
        <v>21000</v>
      </c>
      <c r="AM32" s="9">
        <f>AJ32/AK32</f>
        <v>2.6633418186226124E-2</v>
      </c>
      <c r="AN32" s="10">
        <f>AL32/AJ32</f>
        <v>13.65409622886866</v>
      </c>
      <c r="AO32" s="7"/>
      <c r="AP32" s="7"/>
      <c r="AQ32" s="10"/>
      <c r="AR32" s="7"/>
      <c r="AS32" s="7"/>
      <c r="AT32" s="7">
        <f>3030+2985</f>
        <v>6015</v>
      </c>
      <c r="AU32" s="7">
        <f>119534+97409</f>
        <v>216943</v>
      </c>
      <c r="AV32" s="7">
        <f>35000+27045</f>
        <v>62045</v>
      </c>
      <c r="AW32" s="9">
        <f>AT32/AU32</f>
        <v>2.7726176922048647E-2</v>
      </c>
      <c r="AX32" s="10">
        <f>AV32/AT32</f>
        <v>10.315045719035744</v>
      </c>
    </row>
    <row r="33" spans="1:50" x14ac:dyDescent="0.2">
      <c r="A33" s="22" t="s">
        <v>28</v>
      </c>
      <c r="B33" s="1" t="s">
        <v>51</v>
      </c>
      <c r="C33" s="1" t="s">
        <v>102</v>
      </c>
      <c r="D33" s="1">
        <v>169</v>
      </c>
      <c r="E33" s="1">
        <v>247</v>
      </c>
      <c r="F33" s="4">
        <f>D33+E33</f>
        <v>416</v>
      </c>
      <c r="G33" s="1">
        <v>159</v>
      </c>
      <c r="H33" s="1">
        <v>234</v>
      </c>
      <c r="I33" s="4">
        <f t="shared" si="0"/>
        <v>393</v>
      </c>
      <c r="J33" s="18">
        <f t="shared" si="1"/>
        <v>5.5288461538461564E-2</v>
      </c>
      <c r="K33" s="19">
        <v>0.96699999999999997</v>
      </c>
      <c r="L33" s="24">
        <v>32.876288659793815</v>
      </c>
      <c r="M33" s="24">
        <v>16.579154890646169</v>
      </c>
      <c r="N33" s="2">
        <v>0.55000000000000004</v>
      </c>
      <c r="O33" s="12">
        <f t="shared" si="2"/>
        <v>34030</v>
      </c>
      <c r="P33" s="11">
        <f>O33/I33</f>
        <v>86.590330788804067</v>
      </c>
      <c r="Q33" s="8">
        <f t="shared" si="3"/>
        <v>1944</v>
      </c>
      <c r="R33" s="8">
        <f t="shared" si="4"/>
        <v>51167</v>
      </c>
      <c r="S33" s="9">
        <f t="shared" si="5"/>
        <v>3.7993237829069521E-2</v>
      </c>
      <c r="T33" s="9">
        <f>I33/Q33</f>
        <v>0.2021604938271605</v>
      </c>
      <c r="U33" s="7"/>
      <c r="V33" s="7"/>
      <c r="W33" s="10"/>
      <c r="X33" s="9"/>
      <c r="Y33" s="10"/>
      <c r="Z33" s="7"/>
      <c r="AA33" s="7"/>
      <c r="AB33" s="10"/>
      <c r="AC33" s="7"/>
      <c r="AD33" s="7"/>
      <c r="AE33" s="7"/>
      <c r="AF33" s="7"/>
      <c r="AG33" s="10"/>
      <c r="AH33" s="7"/>
      <c r="AI33" s="7"/>
      <c r="AJ33" s="7">
        <v>1319</v>
      </c>
      <c r="AK33" s="7">
        <v>34103</v>
      </c>
      <c r="AL33" s="10">
        <v>24630</v>
      </c>
      <c r="AM33" s="9">
        <f>AJ33/AK33</f>
        <v>3.867694924200217E-2</v>
      </c>
      <c r="AN33" s="10">
        <f>AL33/AJ33</f>
        <v>18.673237300985594</v>
      </c>
      <c r="AO33" s="7">
        <f>251+374</f>
        <v>625</v>
      </c>
      <c r="AP33" s="7">
        <f>7417+9647</f>
        <v>17064</v>
      </c>
      <c r="AQ33" s="10">
        <f>4700*2</f>
        <v>9400</v>
      </c>
      <c r="AR33" s="9">
        <f>AO33/AP33</f>
        <v>3.6626816690107832E-2</v>
      </c>
      <c r="AS33" s="10">
        <f>AQ33/AO33</f>
        <v>15.04</v>
      </c>
      <c r="AT33" s="7"/>
      <c r="AU33" s="7"/>
      <c r="AV33" s="7"/>
      <c r="AW33" s="7"/>
      <c r="AX33" s="7"/>
    </row>
    <row r="34" spans="1:50" x14ac:dyDescent="0.2">
      <c r="A34" s="22" t="s">
        <v>6</v>
      </c>
      <c r="B34" s="1" t="s">
        <v>111</v>
      </c>
      <c r="C34" s="1" t="s">
        <v>81</v>
      </c>
      <c r="D34" s="1">
        <v>334</v>
      </c>
      <c r="E34" s="1">
        <v>216</v>
      </c>
      <c r="F34" s="4">
        <f>D34+E34</f>
        <v>550</v>
      </c>
      <c r="G34" s="1">
        <v>298</v>
      </c>
      <c r="H34" s="1">
        <v>185</v>
      </c>
      <c r="I34" s="4">
        <f t="shared" si="0"/>
        <v>483</v>
      </c>
      <c r="J34" s="18">
        <f t="shared" si="1"/>
        <v>0.12181818181818183</v>
      </c>
      <c r="K34" s="19">
        <v>0.91500000000000004</v>
      </c>
      <c r="L34" s="24">
        <v>32.123142250530783</v>
      </c>
      <c r="M34" s="24">
        <v>11.542784220111804</v>
      </c>
      <c r="N34" s="2">
        <v>0.41</v>
      </c>
      <c r="O34" s="12">
        <f t="shared" si="2"/>
        <v>12000</v>
      </c>
      <c r="P34" s="11">
        <f>O34/I34</f>
        <v>24.844720496894411</v>
      </c>
      <c r="Q34" s="8">
        <f t="shared" si="3"/>
        <v>1852</v>
      </c>
      <c r="R34" s="8">
        <f t="shared" si="4"/>
        <v>69933</v>
      </c>
      <c r="S34" s="9">
        <f t="shared" si="5"/>
        <v>2.6482490383652926E-2</v>
      </c>
      <c r="T34" s="9">
        <f>I34/Q34</f>
        <v>0.26079913606911448</v>
      </c>
      <c r="U34" s="7"/>
      <c r="V34" s="7"/>
      <c r="W34" s="10"/>
      <c r="X34" s="9"/>
      <c r="Y34" s="10"/>
      <c r="Z34" s="7"/>
      <c r="AA34" s="7"/>
      <c r="AB34" s="10"/>
      <c r="AC34" s="7"/>
      <c r="AD34" s="7"/>
      <c r="AE34" s="7">
        <f>884+968</f>
        <v>1852</v>
      </c>
      <c r="AF34" s="7">
        <f>31860+38073</f>
        <v>69933</v>
      </c>
      <c r="AG34" s="10">
        <f>6000+6000</f>
        <v>12000</v>
      </c>
      <c r="AH34" s="9">
        <f>AE34/AF34</f>
        <v>2.6482490383652926E-2</v>
      </c>
      <c r="AI34" s="10">
        <f>AG34/AE34</f>
        <v>6.4794816414686824</v>
      </c>
      <c r="AJ34" s="7"/>
      <c r="AK34" s="7"/>
      <c r="AL34" s="10"/>
      <c r="AM34" s="7"/>
      <c r="AN34" s="7"/>
      <c r="AO34" s="7"/>
      <c r="AP34" s="7"/>
      <c r="AQ34" s="10"/>
      <c r="AR34" s="7"/>
      <c r="AS34" s="7"/>
      <c r="AT34" s="7"/>
      <c r="AU34" s="7"/>
      <c r="AV34" s="7"/>
      <c r="AW34" s="7"/>
      <c r="AX34" s="7"/>
    </row>
    <row r="35" spans="1:50" x14ac:dyDescent="0.2">
      <c r="A35" s="22" t="s">
        <v>29</v>
      </c>
      <c r="B35" s="1" t="s">
        <v>53</v>
      </c>
      <c r="C35" s="1" t="s">
        <v>103</v>
      </c>
      <c r="D35" s="1">
        <v>226</v>
      </c>
      <c r="E35" s="1">
        <v>144</v>
      </c>
      <c r="F35" s="4">
        <f>D35+E35</f>
        <v>370</v>
      </c>
      <c r="G35" s="1">
        <v>206</v>
      </c>
      <c r="H35" s="1">
        <v>130</v>
      </c>
      <c r="I35" s="4">
        <f t="shared" si="0"/>
        <v>336</v>
      </c>
      <c r="J35" s="18">
        <f t="shared" si="1"/>
        <v>9.1891891891891841E-2</v>
      </c>
      <c r="K35" s="19">
        <v>0.88400000000000001</v>
      </c>
      <c r="L35" s="24">
        <v>23.0392749244713</v>
      </c>
      <c r="M35" s="24">
        <v>7.1491659666094529</v>
      </c>
      <c r="N35" s="2">
        <v>0.42</v>
      </c>
      <c r="O35" s="12">
        <f t="shared" si="2"/>
        <v>9084</v>
      </c>
      <c r="P35" s="11">
        <f>O35/I35</f>
        <v>27.035714285714285</v>
      </c>
      <c r="Q35" s="8">
        <f t="shared" si="3"/>
        <v>3865</v>
      </c>
      <c r="R35" s="8">
        <f t="shared" si="4"/>
        <v>164095</v>
      </c>
      <c r="S35" s="9">
        <f t="shared" si="5"/>
        <v>2.3553429415887138E-2</v>
      </c>
      <c r="T35" s="9">
        <f>I35/Q35</f>
        <v>8.6934023285899095E-2</v>
      </c>
      <c r="U35" s="7"/>
      <c r="V35" s="7"/>
      <c r="W35" s="10"/>
      <c r="X35" s="9"/>
      <c r="Y35" s="10"/>
      <c r="Z35" s="7"/>
      <c r="AA35" s="7"/>
      <c r="AB35" s="10"/>
      <c r="AC35" s="7"/>
      <c r="AD35" s="7"/>
      <c r="AE35" s="7"/>
      <c r="AF35" s="7"/>
      <c r="AG35" s="10"/>
      <c r="AH35" s="7"/>
      <c r="AI35" s="7"/>
      <c r="AJ35" s="7">
        <v>3865</v>
      </c>
      <c r="AK35" s="7">
        <v>164095</v>
      </c>
      <c r="AL35" s="10">
        <v>9084</v>
      </c>
      <c r="AM35" s="9">
        <f>AJ35/AK35</f>
        <v>2.3553429415887138E-2</v>
      </c>
      <c r="AN35" s="10">
        <f>AL35/AJ35</f>
        <v>2.3503234152652004</v>
      </c>
      <c r="AO35" s="7"/>
      <c r="AP35" s="7"/>
      <c r="AQ35" s="10"/>
      <c r="AR35" s="7"/>
      <c r="AS35" s="7"/>
      <c r="AT35" s="7"/>
      <c r="AU35" s="7"/>
      <c r="AV35" s="7"/>
      <c r="AW35" s="7"/>
      <c r="AX35" s="7"/>
    </row>
    <row r="36" spans="1:50" x14ac:dyDescent="0.2">
      <c r="A36" s="22" t="s">
        <v>30</v>
      </c>
      <c r="B36" s="1" t="s">
        <v>51</v>
      </c>
      <c r="C36" s="1" t="s">
        <v>104</v>
      </c>
      <c r="D36" s="1">
        <v>370</v>
      </c>
      <c r="E36" s="1">
        <v>154</v>
      </c>
      <c r="F36" s="4">
        <f>D36+E36</f>
        <v>524</v>
      </c>
      <c r="G36" s="1">
        <v>334</v>
      </c>
      <c r="H36" s="1">
        <v>137</v>
      </c>
      <c r="I36" s="4">
        <f t="shared" si="0"/>
        <v>471</v>
      </c>
      <c r="J36" s="18">
        <f t="shared" si="1"/>
        <v>0.10114503816793896</v>
      </c>
      <c r="K36" s="19">
        <v>0.93200000000000005</v>
      </c>
      <c r="L36" s="24">
        <v>25.111349036402569</v>
      </c>
      <c r="M36" s="24">
        <v>12.960174210178263</v>
      </c>
      <c r="N36" s="2">
        <v>0.52</v>
      </c>
      <c r="O36" s="12">
        <f t="shared" si="2"/>
        <v>7149</v>
      </c>
      <c r="P36" s="11">
        <f>O36/I36</f>
        <v>15.178343949044587</v>
      </c>
      <c r="Q36" s="8">
        <f t="shared" si="3"/>
        <v>2641</v>
      </c>
      <c r="R36" s="8">
        <f t="shared" si="4"/>
        <v>89913</v>
      </c>
      <c r="S36" s="9">
        <f t="shared" si="5"/>
        <v>2.9372838188026204E-2</v>
      </c>
      <c r="T36" s="9">
        <f>I36/Q36</f>
        <v>0.17834153729647861</v>
      </c>
      <c r="U36" s="7"/>
      <c r="V36" s="7"/>
      <c r="W36" s="10"/>
      <c r="X36" s="9"/>
      <c r="Y36" s="10"/>
      <c r="Z36" s="7"/>
      <c r="AA36" s="7"/>
      <c r="AB36" s="10"/>
      <c r="AC36" s="7"/>
      <c r="AD36" s="7"/>
      <c r="AE36" s="7"/>
      <c r="AF36" s="7"/>
      <c r="AG36" s="10"/>
      <c r="AH36" s="7"/>
      <c r="AI36" s="7"/>
      <c r="AJ36" s="7">
        <v>1164</v>
      </c>
      <c r="AK36" s="7">
        <v>41818</v>
      </c>
      <c r="AL36" s="10">
        <v>3959</v>
      </c>
      <c r="AM36" s="9">
        <f>AJ36/AK36</f>
        <v>2.7834903630015784E-2</v>
      </c>
      <c r="AN36" s="10">
        <f>AL36/AJ36</f>
        <v>3.4012027491408934</v>
      </c>
      <c r="AO36" s="7">
        <v>1477</v>
      </c>
      <c r="AP36" s="7">
        <v>48095</v>
      </c>
      <c r="AQ36" s="10">
        <v>3190</v>
      </c>
      <c r="AR36" s="9">
        <f>AO36/AP36</f>
        <v>3.0710053020064455E-2</v>
      </c>
      <c r="AS36" s="10">
        <f>AQ36/AO36</f>
        <v>2.1597833446174679</v>
      </c>
      <c r="AT36" s="7"/>
      <c r="AU36" s="7"/>
      <c r="AV36" s="7"/>
      <c r="AW36" s="7"/>
      <c r="AX36" s="7"/>
    </row>
    <row r="37" spans="1:50" x14ac:dyDescent="0.2">
      <c r="A37" s="22" t="s">
        <v>31</v>
      </c>
      <c r="B37" s="1" t="s">
        <v>47</v>
      </c>
      <c r="C37" s="1" t="s">
        <v>105</v>
      </c>
      <c r="D37" s="1">
        <v>350</v>
      </c>
      <c r="E37" s="1">
        <v>619</v>
      </c>
      <c r="F37" s="4">
        <f>D37+E37</f>
        <v>969</v>
      </c>
      <c r="G37" s="1">
        <v>330</v>
      </c>
      <c r="H37" s="1">
        <v>581</v>
      </c>
      <c r="I37" s="4">
        <f t="shared" si="0"/>
        <v>911</v>
      </c>
      <c r="J37" s="18">
        <f>1-(I37/F37)</f>
        <v>5.9855521155830704E-2</v>
      </c>
      <c r="K37" s="19">
        <v>0.95499999999999996</v>
      </c>
      <c r="L37" s="24">
        <v>31.013245033112582</v>
      </c>
      <c r="M37" s="24">
        <v>10.439186747796118</v>
      </c>
      <c r="N37" s="2">
        <v>0.26</v>
      </c>
      <c r="O37" s="12">
        <f t="shared" si="2"/>
        <v>4957</v>
      </c>
      <c r="P37" s="11">
        <f>O37/I37</f>
        <v>5.4412733260153674</v>
      </c>
      <c r="Q37" s="8">
        <f t="shared" si="3"/>
        <v>2145</v>
      </c>
      <c r="R37" s="8">
        <f t="shared" si="4"/>
        <v>44824</v>
      </c>
      <c r="S37" s="9">
        <f t="shared" si="5"/>
        <v>4.7853828306264501E-2</v>
      </c>
      <c r="T37" s="9">
        <f>I37/Q37</f>
        <v>0.42470862470862469</v>
      </c>
      <c r="U37" s="7"/>
      <c r="V37" s="7"/>
      <c r="W37" s="10"/>
      <c r="X37" s="9"/>
      <c r="Y37" s="10"/>
      <c r="Z37" s="7"/>
      <c r="AA37" s="7"/>
      <c r="AB37" s="10"/>
      <c r="AC37" s="7"/>
      <c r="AD37" s="7"/>
      <c r="AE37" s="7"/>
      <c r="AF37" s="7"/>
      <c r="AG37" s="10"/>
      <c r="AH37" s="7"/>
      <c r="AI37" s="7"/>
      <c r="AJ37" s="7">
        <v>2145</v>
      </c>
      <c r="AK37" s="7">
        <v>44824</v>
      </c>
      <c r="AL37" s="10">
        <v>4957</v>
      </c>
      <c r="AM37" s="9">
        <f>AJ37/AK37</f>
        <v>4.7853828306264501E-2</v>
      </c>
      <c r="AN37" s="10">
        <f>AL37/AJ37</f>
        <v>2.3109557109557111</v>
      </c>
      <c r="AO37" s="7"/>
      <c r="AP37" s="7"/>
      <c r="AQ37" s="10"/>
      <c r="AR37" s="7"/>
      <c r="AS37" s="7"/>
      <c r="AT37" s="7"/>
      <c r="AU37" s="7"/>
      <c r="AV37" s="7"/>
      <c r="AW37" s="7"/>
      <c r="AX37" s="7"/>
    </row>
    <row r="38" spans="1:50" x14ac:dyDescent="0.2">
      <c r="A38" s="22" t="s">
        <v>17</v>
      </c>
      <c r="B38" s="1" t="s">
        <v>54</v>
      </c>
      <c r="C38" s="1" t="s">
        <v>98</v>
      </c>
      <c r="D38" s="1">
        <v>197</v>
      </c>
      <c r="E38" s="1">
        <v>201</v>
      </c>
      <c r="F38" s="4">
        <f>D38+E38</f>
        <v>398</v>
      </c>
      <c r="G38" s="1">
        <v>197</v>
      </c>
      <c r="H38" s="1">
        <v>189</v>
      </c>
      <c r="I38" s="4">
        <f t="shared" si="0"/>
        <v>386</v>
      </c>
      <c r="J38" s="18">
        <f t="shared" si="1"/>
        <v>3.0150753768844241E-2</v>
      </c>
      <c r="K38" s="19">
        <v>0.90700000000000003</v>
      </c>
      <c r="L38" s="24">
        <v>37.781818181818181</v>
      </c>
      <c r="M38" s="24">
        <v>16.512595628608473</v>
      </c>
      <c r="N38" s="2">
        <v>0.57999999999999996</v>
      </c>
      <c r="O38" s="12">
        <f t="shared" si="2"/>
        <v>82087</v>
      </c>
      <c r="P38" s="11">
        <f>O38/I38</f>
        <v>212.66062176165804</v>
      </c>
      <c r="Q38" s="8">
        <f t="shared" si="3"/>
        <v>2959</v>
      </c>
      <c r="R38" s="8">
        <f t="shared" si="4"/>
        <v>132757</v>
      </c>
      <c r="S38" s="9">
        <f t="shared" si="5"/>
        <v>2.2288843526141747E-2</v>
      </c>
      <c r="T38" s="9">
        <f>I38/Q38</f>
        <v>0.13044947617438324</v>
      </c>
      <c r="U38" s="7"/>
      <c r="V38" s="7"/>
      <c r="W38" s="10"/>
      <c r="X38" s="9"/>
      <c r="Y38" s="10"/>
      <c r="Z38" s="7"/>
      <c r="AA38" s="7"/>
      <c r="AB38" s="10"/>
      <c r="AC38" s="7"/>
      <c r="AD38" s="7"/>
      <c r="AE38" s="7">
        <f>432+337</f>
        <v>769</v>
      </c>
      <c r="AF38" s="7">
        <f>31113+36006</f>
        <v>67119</v>
      </c>
      <c r="AG38" s="10">
        <f>16500+16499</f>
        <v>32999</v>
      </c>
      <c r="AH38" s="9">
        <f>AE38/AF38</f>
        <v>1.1457262474113142E-2</v>
      </c>
      <c r="AI38" s="10">
        <f>AG38/AE38</f>
        <v>42.91157347204161</v>
      </c>
      <c r="AJ38" s="7"/>
      <c r="AK38" s="7"/>
      <c r="AL38" s="10"/>
      <c r="AM38" s="7"/>
      <c r="AN38" s="7"/>
      <c r="AO38" s="7">
        <f>1166+1024</f>
        <v>2190</v>
      </c>
      <c r="AP38" s="7">
        <f>31950+33688</f>
        <v>65638</v>
      </c>
      <c r="AQ38" s="10">
        <f>24544*2</f>
        <v>49088</v>
      </c>
      <c r="AR38" s="9">
        <f>AO38/AP38</f>
        <v>3.3364819159633137E-2</v>
      </c>
      <c r="AS38" s="10">
        <f>AQ38/AO38</f>
        <v>22.414611872146118</v>
      </c>
      <c r="AT38" s="7"/>
      <c r="AU38" s="7"/>
      <c r="AV38" s="7"/>
      <c r="AW38" s="7"/>
      <c r="AX38" s="7"/>
    </row>
    <row r="39" spans="1:50" x14ac:dyDescent="0.2">
      <c r="A39" s="22" t="s">
        <v>7</v>
      </c>
      <c r="B39" s="1" t="s">
        <v>55</v>
      </c>
      <c r="C39" s="1" t="s">
        <v>98</v>
      </c>
      <c r="D39" s="1">
        <v>113</v>
      </c>
      <c r="E39" s="1">
        <v>275</v>
      </c>
      <c r="F39" s="4">
        <f>D39+E39</f>
        <v>388</v>
      </c>
      <c r="G39" s="1">
        <v>104</v>
      </c>
      <c r="H39" s="1">
        <v>256</v>
      </c>
      <c r="I39" s="4">
        <f t="shared" si="0"/>
        <v>360</v>
      </c>
      <c r="J39" s="18">
        <f t="shared" si="1"/>
        <v>7.2164948453608213E-2</v>
      </c>
      <c r="K39" s="19">
        <v>0.84699999999999998</v>
      </c>
      <c r="L39" s="24">
        <v>25.833802816901407</v>
      </c>
      <c r="M39" s="24">
        <v>12.948746679987135</v>
      </c>
      <c r="N39" s="2">
        <v>0.57999999999999996</v>
      </c>
      <c r="O39" s="12">
        <f t="shared" si="2"/>
        <v>72756</v>
      </c>
      <c r="P39" s="11">
        <f>O39/I39</f>
        <v>202.1</v>
      </c>
      <c r="Q39" s="8">
        <f t="shared" si="3"/>
        <v>2185</v>
      </c>
      <c r="R39" s="8">
        <f t="shared" si="4"/>
        <v>147090</v>
      </c>
      <c r="S39" s="9">
        <f t="shared" si="5"/>
        <v>1.4854850771636414E-2</v>
      </c>
      <c r="T39" s="9">
        <f>I39/Q39</f>
        <v>0.16475972540045766</v>
      </c>
      <c r="U39" s="7">
        <v>882</v>
      </c>
      <c r="V39" s="7">
        <v>57704</v>
      </c>
      <c r="W39" s="10">
        <v>23100</v>
      </c>
      <c r="X39" s="9">
        <f>U39/V39</f>
        <v>1.5284902259808679E-2</v>
      </c>
      <c r="Y39" s="10">
        <f>W39/U39</f>
        <v>26.19047619047619</v>
      </c>
      <c r="Z39" s="7">
        <v>464</v>
      </c>
      <c r="AA39" s="7">
        <v>54897</v>
      </c>
      <c r="AB39" s="10">
        <v>30000</v>
      </c>
      <c r="AC39" s="9">
        <f>Z39/AA39</f>
        <v>8.4521922873745381E-3</v>
      </c>
      <c r="AD39" s="10">
        <f>AB39/Z39</f>
        <v>64.65517241379311</v>
      </c>
      <c r="AE39" s="7"/>
      <c r="AF39" s="7"/>
      <c r="AG39" s="10"/>
      <c r="AH39" s="7"/>
      <c r="AI39" s="7"/>
      <c r="AJ39" s="7"/>
      <c r="AK39" s="7"/>
      <c r="AL39" s="10"/>
      <c r="AM39" s="7"/>
      <c r="AN39" s="7"/>
      <c r="AO39" s="7">
        <f>379+460</f>
        <v>839</v>
      </c>
      <c r="AP39" s="7">
        <f>18171+16318</f>
        <v>34489</v>
      </c>
      <c r="AQ39" s="10">
        <f>9828*2</f>
        <v>19656</v>
      </c>
      <c r="AR39" s="9">
        <f>AO39/AP39</f>
        <v>2.4326596885963642E-2</v>
      </c>
      <c r="AS39" s="10">
        <f>AQ39/AO39</f>
        <v>23.427890345649583</v>
      </c>
      <c r="AT39" s="7"/>
      <c r="AU39" s="7"/>
      <c r="AV39" s="7"/>
      <c r="AW39" s="7"/>
      <c r="AX39" s="7"/>
    </row>
    <row r="40" spans="1:50" x14ac:dyDescent="0.2">
      <c r="A40" s="22" t="s">
        <v>32</v>
      </c>
      <c r="B40" s="1" t="s">
        <v>56</v>
      </c>
      <c r="C40" s="1" t="s">
        <v>106</v>
      </c>
      <c r="D40" s="1">
        <v>358</v>
      </c>
      <c r="E40" s="1">
        <v>356</v>
      </c>
      <c r="F40" s="4">
        <f>D40+E40</f>
        <v>714</v>
      </c>
      <c r="G40" s="1">
        <v>348</v>
      </c>
      <c r="H40" s="1">
        <v>334</v>
      </c>
      <c r="I40" s="4">
        <f t="shared" si="0"/>
        <v>682</v>
      </c>
      <c r="J40" s="18">
        <f t="shared" si="1"/>
        <v>4.4817927170868299E-2</v>
      </c>
      <c r="K40" s="19">
        <v>0.79300000000000004</v>
      </c>
      <c r="L40" s="24">
        <v>30.904761904761905</v>
      </c>
      <c r="M40" s="24">
        <v>13.718801742670589</v>
      </c>
      <c r="N40" s="2">
        <v>0.38</v>
      </c>
      <c r="O40" s="12">
        <f t="shared" si="2"/>
        <v>26002</v>
      </c>
      <c r="P40" s="11">
        <f>O40/I40</f>
        <v>38.126099706744867</v>
      </c>
      <c r="Q40" s="8">
        <f t="shared" si="3"/>
        <v>16206</v>
      </c>
      <c r="R40" s="8">
        <f t="shared" si="4"/>
        <v>450041</v>
      </c>
      <c r="S40" s="9">
        <f t="shared" si="5"/>
        <v>3.6010052417446411E-2</v>
      </c>
      <c r="T40" s="9">
        <f>I40/Q40</f>
        <v>4.2083179069480441E-2</v>
      </c>
      <c r="U40" s="7"/>
      <c r="V40" s="7"/>
      <c r="W40" s="10"/>
      <c r="X40" s="9"/>
      <c r="Y40" s="10"/>
      <c r="Z40" s="7"/>
      <c r="AA40" s="7"/>
      <c r="AB40" s="10"/>
      <c r="AC40" s="7"/>
      <c r="AD40" s="7"/>
      <c r="AE40" s="7"/>
      <c r="AF40" s="7"/>
      <c r="AG40" s="10"/>
      <c r="AH40" s="7"/>
      <c r="AI40" s="7"/>
      <c r="AJ40" s="7">
        <v>1824</v>
      </c>
      <c r="AK40" s="7">
        <v>85110</v>
      </c>
      <c r="AL40" s="10">
        <v>5250</v>
      </c>
      <c r="AM40" s="9">
        <f>AJ40/AK40</f>
        <v>2.1431089178709905E-2</v>
      </c>
      <c r="AN40" s="10">
        <f>AL40/AJ40</f>
        <v>2.8782894736842106</v>
      </c>
      <c r="AO40" s="7"/>
      <c r="AP40" s="7"/>
      <c r="AQ40" s="10"/>
      <c r="AR40" s="7"/>
      <c r="AS40" s="7"/>
      <c r="AT40" s="7">
        <f>11847+2535</f>
        <v>14382</v>
      </c>
      <c r="AU40" s="7">
        <f>352456+12475</f>
        <v>364931</v>
      </c>
      <c r="AV40" s="10">
        <f>16918+3834</f>
        <v>20752</v>
      </c>
      <c r="AW40" s="9">
        <f>AT40/AU40</f>
        <v>3.941018987150996E-2</v>
      </c>
      <c r="AX40" s="10">
        <f>AV40/AT40</f>
        <v>1.442914754554304</v>
      </c>
    </row>
    <row r="41" spans="1:50" x14ac:dyDescent="0.2">
      <c r="A41" s="22" t="s">
        <v>33</v>
      </c>
      <c r="B41" s="1" t="s">
        <v>112</v>
      </c>
      <c r="C41" s="1" t="s">
        <v>107</v>
      </c>
      <c r="D41" s="1">
        <v>246</v>
      </c>
      <c r="E41" s="1">
        <v>79</v>
      </c>
      <c r="F41" s="4">
        <f>D41+E41</f>
        <v>325</v>
      </c>
      <c r="G41" s="1">
        <v>235</v>
      </c>
      <c r="H41" s="1">
        <v>74</v>
      </c>
      <c r="I41" s="4">
        <f t="shared" si="0"/>
        <v>309</v>
      </c>
      <c r="J41" s="18">
        <f t="shared" si="1"/>
        <v>4.9230769230769189E-2</v>
      </c>
      <c r="K41" s="19">
        <v>0.93200000000000005</v>
      </c>
      <c r="L41" s="24">
        <v>27.237785016286644</v>
      </c>
      <c r="M41" s="24">
        <v>14.482087391275231</v>
      </c>
      <c r="N41" s="2">
        <v>0.66</v>
      </c>
      <c r="O41" s="12">
        <f t="shared" si="2"/>
        <v>11345</v>
      </c>
      <c r="P41" s="11">
        <f>O41/I41</f>
        <v>36.715210355987054</v>
      </c>
      <c r="Q41" s="8">
        <f t="shared" si="3"/>
        <v>1605</v>
      </c>
      <c r="R41" s="8">
        <f t="shared" si="4"/>
        <v>41933</v>
      </c>
      <c r="S41" s="9">
        <f t="shared" si="5"/>
        <v>3.8275344001144684E-2</v>
      </c>
      <c r="T41" s="9">
        <f>I41/Q41</f>
        <v>0.19252336448598131</v>
      </c>
      <c r="U41" s="7"/>
      <c r="V41" s="7"/>
      <c r="W41" s="10"/>
      <c r="X41" s="9"/>
      <c r="Y41" s="10"/>
      <c r="Z41" s="7"/>
      <c r="AA41" s="7"/>
      <c r="AB41" s="10"/>
      <c r="AC41" s="7"/>
      <c r="AD41" s="7"/>
      <c r="AE41" s="7"/>
      <c r="AF41" s="7"/>
      <c r="AG41" s="10"/>
      <c r="AH41" s="7"/>
      <c r="AI41" s="7"/>
      <c r="AJ41" s="7">
        <v>1605</v>
      </c>
      <c r="AK41" s="7">
        <v>41933</v>
      </c>
      <c r="AL41" s="10">
        <v>11345</v>
      </c>
      <c r="AM41" s="9">
        <f>AJ41/AK41</f>
        <v>3.8275344001144684E-2</v>
      </c>
      <c r="AN41" s="10">
        <f>AL41/AJ41</f>
        <v>7.0685358255451716</v>
      </c>
      <c r="AO41" s="7"/>
      <c r="AP41" s="7"/>
      <c r="AQ41" s="10"/>
      <c r="AR41" s="7"/>
      <c r="AS41" s="7"/>
      <c r="AT41" s="7"/>
      <c r="AU41" s="7"/>
      <c r="AV41" s="10"/>
      <c r="AW41" s="7"/>
      <c r="AX41" s="7"/>
    </row>
    <row r="42" spans="1:50" x14ac:dyDescent="0.2">
      <c r="A42" s="23" t="s">
        <v>34</v>
      </c>
      <c r="B42" s="5" t="s">
        <v>56</v>
      </c>
      <c r="C42" s="5" t="s">
        <v>108</v>
      </c>
      <c r="D42" s="5">
        <v>71</v>
      </c>
      <c r="E42" s="5">
        <v>252</v>
      </c>
      <c r="F42" s="4">
        <f>D42+E42</f>
        <v>323</v>
      </c>
      <c r="G42" s="5">
        <v>63</v>
      </c>
      <c r="H42" s="5">
        <v>243</v>
      </c>
      <c r="I42" s="4">
        <f t="shared" si="0"/>
        <v>306</v>
      </c>
      <c r="J42" s="18">
        <f t="shared" si="1"/>
        <v>5.2631578947368474E-2</v>
      </c>
      <c r="K42" s="20">
        <v>0.89500000000000002</v>
      </c>
      <c r="L42" s="26">
        <v>45.796052631578945</v>
      </c>
      <c r="M42" s="26">
        <v>13.367286216824311</v>
      </c>
      <c r="N42" s="6">
        <v>0.51</v>
      </c>
      <c r="O42" s="12">
        <f t="shared" si="2"/>
        <v>43769</v>
      </c>
      <c r="P42" s="11">
        <f>O42/I42</f>
        <v>143.03594771241831</v>
      </c>
      <c r="Q42" s="8">
        <f t="shared" si="3"/>
        <v>6023</v>
      </c>
      <c r="R42" s="8">
        <f t="shared" si="4"/>
        <v>271695</v>
      </c>
      <c r="S42" s="9">
        <f t="shared" si="5"/>
        <v>2.2168240122195846E-2</v>
      </c>
      <c r="T42" s="9">
        <f>I42/Q42</f>
        <v>5.0805246554872986E-2</v>
      </c>
      <c r="U42" s="7"/>
      <c r="V42" s="7"/>
      <c r="W42" s="10"/>
      <c r="X42" s="9"/>
      <c r="Y42" s="10"/>
      <c r="Z42" s="7"/>
      <c r="AA42" s="7"/>
      <c r="AB42" s="10"/>
      <c r="AC42" s="7"/>
      <c r="AD42" s="7"/>
      <c r="AE42" s="7"/>
      <c r="AF42" s="7"/>
      <c r="AG42" s="10"/>
      <c r="AH42" s="7"/>
      <c r="AI42" s="7"/>
      <c r="AJ42" s="7">
        <v>1470</v>
      </c>
      <c r="AK42" s="7">
        <v>48852</v>
      </c>
      <c r="AL42" s="10">
        <v>9750</v>
      </c>
      <c r="AM42" s="9">
        <f>AJ42/AK42</f>
        <v>3.0090886760009827E-2</v>
      </c>
      <c r="AN42" s="10">
        <f>AL42/AJ42</f>
        <v>6.6326530612244898</v>
      </c>
      <c r="AO42" s="7"/>
      <c r="AP42" s="7"/>
      <c r="AQ42" s="10"/>
      <c r="AR42" s="7"/>
      <c r="AS42" s="7"/>
      <c r="AT42" s="7">
        <f>2556+1997</f>
        <v>4553</v>
      </c>
      <c r="AU42" s="7">
        <f>127143+95700</f>
        <v>222843</v>
      </c>
      <c r="AV42" s="10">
        <f>21000+13019</f>
        <v>34019</v>
      </c>
      <c r="AW42" s="9">
        <f>AT42/AU42</f>
        <v>2.0431424814779914E-2</v>
      </c>
      <c r="AX42" s="10">
        <f>AV42/AT42</f>
        <v>7.4717768504282889</v>
      </c>
    </row>
    <row r="43" spans="1:50" x14ac:dyDescent="0.2">
      <c r="A43" s="22" t="s">
        <v>57</v>
      </c>
      <c r="B43" s="1" t="s">
        <v>58</v>
      </c>
      <c r="C43" s="1" t="s">
        <v>93</v>
      </c>
      <c r="D43" s="1">
        <v>294</v>
      </c>
      <c r="E43" s="1">
        <v>86</v>
      </c>
      <c r="F43" s="4">
        <f>D43+E43</f>
        <v>380</v>
      </c>
      <c r="G43" s="1">
        <v>283</v>
      </c>
      <c r="H43" s="1">
        <v>75</v>
      </c>
      <c r="I43" s="4">
        <f t="shared" si="0"/>
        <v>358</v>
      </c>
      <c r="J43" s="18">
        <f t="shared" si="1"/>
        <v>5.7894736842105221E-2</v>
      </c>
      <c r="K43" s="19">
        <v>0.54500000000000004</v>
      </c>
      <c r="L43" s="24">
        <v>23.182336182336183</v>
      </c>
      <c r="M43" s="24">
        <v>9.6312483220475791</v>
      </c>
      <c r="N43" s="2">
        <v>0.33600000000000002</v>
      </c>
      <c r="O43" s="12">
        <f t="shared" si="2"/>
        <v>11524</v>
      </c>
      <c r="P43" s="11">
        <f>O43/I43</f>
        <v>32.18994413407821</v>
      </c>
      <c r="Q43" s="8">
        <f t="shared" si="3"/>
        <v>12725</v>
      </c>
      <c r="R43" s="8">
        <f t="shared" si="4"/>
        <v>194379</v>
      </c>
      <c r="S43" s="9">
        <f t="shared" si="5"/>
        <v>6.5464890754659708E-2</v>
      </c>
      <c r="T43" s="9">
        <f>I43/Q43</f>
        <v>2.81335952848723E-2</v>
      </c>
      <c r="U43" s="7"/>
      <c r="V43" s="7"/>
      <c r="W43" s="10"/>
      <c r="X43" s="9"/>
      <c r="Y43" s="10"/>
      <c r="Z43" s="7"/>
      <c r="AA43" s="7"/>
      <c r="AB43" s="10"/>
      <c r="AC43" s="7"/>
      <c r="AD43" s="7"/>
      <c r="AE43" s="7"/>
      <c r="AF43" s="7"/>
      <c r="AG43" s="10"/>
      <c r="AH43" s="7"/>
      <c r="AI43" s="7"/>
      <c r="AJ43" s="7"/>
      <c r="AK43" s="7"/>
      <c r="AL43" s="10"/>
      <c r="AM43" s="7"/>
      <c r="AN43" s="7"/>
      <c r="AO43" s="7"/>
      <c r="AP43" s="7"/>
      <c r="AQ43" s="10"/>
      <c r="AR43" s="7"/>
      <c r="AS43" s="7"/>
      <c r="AT43" s="7">
        <f>2803+9922</f>
        <v>12725</v>
      </c>
      <c r="AU43" s="7">
        <f>78305+116074</f>
        <v>194379</v>
      </c>
      <c r="AV43" s="7">
        <f>8000+3524</f>
        <v>11524</v>
      </c>
      <c r="AW43" s="9">
        <f>AT43/AU43</f>
        <v>6.5464890754659708E-2</v>
      </c>
      <c r="AX43" s="10">
        <f>AV43/AT43</f>
        <v>0.90561886051080553</v>
      </c>
    </row>
  </sheetData>
  <mergeCells count="50">
    <mergeCell ref="B4:B5"/>
    <mergeCell ref="A4:A5"/>
    <mergeCell ref="G4:K4"/>
    <mergeCell ref="A3:B3"/>
    <mergeCell ref="N4:N5"/>
    <mergeCell ref="G3:N3"/>
    <mergeCell ref="AT3:AT5"/>
    <mergeCell ref="AQ3:AQ5"/>
    <mergeCell ref="AN3:AN5"/>
    <mergeCell ref="AK3:AK5"/>
    <mergeCell ref="AI3:AI5"/>
    <mergeCell ref="AF3:AF5"/>
    <mergeCell ref="AG3:AG5"/>
    <mergeCell ref="AH3:AH5"/>
    <mergeCell ref="AJ3:AJ5"/>
    <mergeCell ref="U2:Y2"/>
    <mergeCell ref="AE2:AI2"/>
    <mergeCell ref="AJ2:AN2"/>
    <mergeCell ref="AO2:AS2"/>
    <mergeCell ref="AT2:AX2"/>
    <mergeCell ref="AU3:AU5"/>
    <mergeCell ref="AV3:AV5"/>
    <mergeCell ref="AW3:AW5"/>
    <mergeCell ref="AX3:AX5"/>
    <mergeCell ref="AO3:AO5"/>
    <mergeCell ref="V3:V5"/>
    <mergeCell ref="W3:W5"/>
    <mergeCell ref="X3:X5"/>
    <mergeCell ref="Y3:Y5"/>
    <mergeCell ref="AL3:AL5"/>
    <mergeCell ref="AM3:AM5"/>
    <mergeCell ref="AE3:AE5"/>
    <mergeCell ref="AS3:AS5"/>
    <mergeCell ref="AR3:AR5"/>
    <mergeCell ref="AP3:AP5"/>
    <mergeCell ref="D4:F4"/>
    <mergeCell ref="P3:P5"/>
    <mergeCell ref="Z2:AD2"/>
    <mergeCell ref="Z3:Z5"/>
    <mergeCell ref="AA3:AA5"/>
    <mergeCell ref="AB3:AB5"/>
    <mergeCell ref="AC3:AC5"/>
    <mergeCell ref="AD3:AD5"/>
    <mergeCell ref="S3:S5"/>
    <mergeCell ref="Q3:Q5"/>
    <mergeCell ref="T3:T5"/>
    <mergeCell ref="O2:T2"/>
    <mergeCell ref="R3:R5"/>
    <mergeCell ref="O3:O5"/>
    <mergeCell ref="U3:U5"/>
  </mergeCells>
  <phoneticPr fontId="1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Facebook ad performance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Thomson</dc:creator>
  <cp:lastModifiedBy>Robert Thomson</cp:lastModifiedBy>
  <cp:lastPrinted>2014-11-26T05:35:53Z</cp:lastPrinted>
  <dcterms:created xsi:type="dcterms:W3CDTF">2014-11-25T01:14:10Z</dcterms:created>
  <dcterms:modified xsi:type="dcterms:W3CDTF">2018-10-17T03:12:35Z</dcterms:modified>
</cp:coreProperties>
</file>